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peck\Desktop\"/>
    </mc:Choice>
  </mc:AlternateContent>
  <xr:revisionPtr revIDLastSave="0" documentId="13_ncr:1_{7BA5A518-1425-4200-8878-F8E82526EB41}" xr6:coauthVersionLast="44" xr6:coauthVersionMax="44" xr10:uidLastSave="{00000000-0000-0000-0000-000000000000}"/>
  <bookViews>
    <workbookView xWindow="-108" yWindow="-108" windowWidth="23256" windowHeight="12576" tabRatio="879" xr2:uid="{00000000-000D-0000-FFFF-FFFF00000000}"/>
  </bookViews>
  <sheets>
    <sheet name="Summary" sheetId="35" r:id="rId1"/>
    <sheet name="Projection" sheetId="25" r:id="rId2"/>
    <sheet name="Master Data" sheetId="2" r:id="rId3"/>
    <sheet name="Covid 19" sheetId="32" r:id="rId4"/>
    <sheet name="Virtual" sheetId="34" r:id="rId5"/>
    <sheet name="GP Triage" sheetId="1" r:id="rId6"/>
    <sheet name="Huddles" sheetId="7" r:id="rId7"/>
    <sheet name="HCA" sheetId="4" r:id="rId8"/>
    <sheet name="Patient Portal" sheetId="3" r:id="rId9"/>
    <sheet name="MDT" sheetId="8" r:id="rId10"/>
    <sheet name="YOC" sheetId="30" r:id="rId11"/>
    <sheet name="Call Management" sheetId="9" r:id="rId12"/>
    <sheet name="Extended Hours" sheetId="11" r:id="rId13"/>
    <sheet name="Other" sheetId="28" r:id="rId14"/>
  </sheets>
  <definedNames>
    <definedName name="Admin_FTE" localSheetId="3">'Master Data'!$C$14</definedName>
    <definedName name="Admin_FTE">'Master Data'!$C$14</definedName>
    <definedName name="Annual_FTE_hours" localSheetId="3">'Master Data'!$C$17</definedName>
    <definedName name="Annual_FTE_hours">'Master Data'!$C$17</definedName>
    <definedName name="Average_GP_Revenue" localSheetId="3">'Master Data'!$F$7</definedName>
    <definedName name="Average_GP_Revenue">'Master Data'!$F$7</definedName>
    <definedName name="Average_Nurse_Revenue" localSheetId="3">'Master Data'!$F$12</definedName>
    <definedName name="Average_Nurse_Revenue">'Master Data'!$F$12</definedName>
    <definedName name="Care_plan_annual_assessment" localSheetId="10">#REF!</definedName>
    <definedName name="Care_plan_annual_assessment">#REF!</definedName>
    <definedName name="care_plan_nurse_consults" localSheetId="10">#REF!</definedName>
    <definedName name="care_plan_nurse_consults">#REF!</definedName>
    <definedName name="Care_plan_patients" localSheetId="10">#REF!</definedName>
    <definedName name="Care_plan_patients">#REF!</definedName>
    <definedName name="Consult_Consumables_Cost" localSheetId="3">'Master Data'!#REF!</definedName>
    <definedName name="Consult_Consumables_Cost" localSheetId="10">'Master Data'!#REF!</definedName>
    <definedName name="Consult_Consumables_Cost">'Master Data'!#REF!</definedName>
    <definedName name="Covid_19_consult_lenght">'GP Triage'!#REF!</definedName>
    <definedName name="Enrolled_patients" localSheetId="3">'Master Data'!$C$7</definedName>
    <definedName name="Enrolled_patients">'Master Data'!$C$7</definedName>
    <definedName name="GP_Consult_Length" localSheetId="3">'Master Data'!$C$10</definedName>
    <definedName name="GP_Consult_Length">'Master Data'!$C$10</definedName>
    <definedName name="GP_covid">'GP Triage'!#REF!</definedName>
    <definedName name="GP_FTE" localSheetId="3">'Master Data'!$C$12</definedName>
    <definedName name="GP_FTE">'Master Data'!$C$12</definedName>
    <definedName name="GP_phone_consult_length" localSheetId="3">'Covid 19'!#REF!</definedName>
    <definedName name="GP_phone_consult_length">'GP Triage'!#REF!</definedName>
    <definedName name="GP_Triage_Adoption_Rate" localSheetId="3">'Covid 19'!#REF!</definedName>
    <definedName name="GP_Triage_Adoption_Rate">'GP Triage'!$G$3</definedName>
    <definedName name="GP_triage_Call_Length" localSheetId="3">'Covid 19'!#REF!</definedName>
    <definedName name="GP_triage_Call_Length">'GP Triage'!$C$5</definedName>
    <definedName name="GP_triage_consult_recovery" localSheetId="3">'Covid 19'!#REF!</definedName>
    <definedName name="GP_triage_consult_recovery" localSheetId="13">'GP Triage'!#REF!</definedName>
    <definedName name="GP_triage_consult_recovery" localSheetId="10">'GP Triage'!#REF!</definedName>
    <definedName name="GP_triage_consult_recovery">'GP Triage'!#REF!</definedName>
    <definedName name="GP_triage_Session" localSheetId="3">'Covid 19'!#REF!</definedName>
    <definedName name="GP_triage_Session">'GP Triage'!#REF!</definedName>
    <definedName name="GP_triage_spare">'GP Triage'!#REF!</definedName>
    <definedName name="HCH_Code_Groups" localSheetId="13">#REF!</definedName>
    <definedName name="HCH_Code_Groups" localSheetId="10">#REF!</definedName>
    <definedName name="HCH_Code_Groups">#REF!</definedName>
    <definedName name="Nurse_Consult_Length" localSheetId="3">'Master Data'!$C$11</definedName>
    <definedName name="Nurse_Consult_Length">'Master Data'!$C$11</definedName>
    <definedName name="Nurse_FTE" localSheetId="3">'Master Data'!$C$13</definedName>
    <definedName name="Nurse_FTE">'Master Data'!$C$13</definedName>
    <definedName name="PLACTIVITY" localSheetId="3">'Master Data'!$L$21:$L$22</definedName>
    <definedName name="PLACTIVITY">'Master Data'!$L$21:$L$22</definedName>
    <definedName name="PLTYPE" localSheetId="3">'Master Data'!$L$4:$L$12</definedName>
    <definedName name="PLTYPE">'Master Data'!$L$4:$L$12</definedName>
    <definedName name="revenue_allocation" localSheetId="13">#REF!</definedName>
    <definedName name="revenue_allocation" localSheetId="10">#REF!</definedName>
    <definedName name="revenue_allocation">#REF!</definedName>
    <definedName name="Spare_call_length">'GP Triage'!$C$5</definedName>
    <definedName name="Total_overhead_movement" localSheetId="3">#REF!</definedName>
    <definedName name="Total_overhead_movement" localSheetId="13">#REF!</definedName>
    <definedName name="Total_overhead_movement" localSheetId="0">Summary!#REF!</definedName>
    <definedName name="Total_overhead_movement" localSheetId="10">#REF!</definedName>
    <definedName name="Total_overhead_movement">#REF!</definedName>
    <definedName name="YesNo" localSheetId="3">#REF!</definedName>
    <definedName name="YesNo" localSheetId="13">#REF!</definedName>
    <definedName name="YesNo" localSheetId="0">Summary!#REF!</definedName>
    <definedName name="YesNo" localSheetId="10">#REF!</definedName>
    <definedName name="YesNo">#REF!</definedName>
    <definedName name="YOC_Include" localSheetId="3">YOC!$C$13</definedName>
    <definedName name="YOC_Include">YOC!$C$13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36" i="25" l="1"/>
  <c r="BG36" i="25"/>
  <c r="BF36" i="25"/>
  <c r="BE36" i="25"/>
  <c r="I8" i="35"/>
  <c r="F21" i="25"/>
  <c r="F19" i="25"/>
  <c r="G21" i="25"/>
  <c r="C21" i="25"/>
  <c r="I9" i="35"/>
  <c r="B147" i="25"/>
  <c r="B127" i="25"/>
  <c r="B107" i="25"/>
  <c r="B87" i="25"/>
  <c r="B67" i="25"/>
  <c r="B45" i="25"/>
  <c r="C27" i="32"/>
  <c r="G22" i="25" s="1"/>
  <c r="C25" i="32"/>
  <c r="F110" i="25"/>
  <c r="F105" i="25"/>
  <c r="F104" i="25"/>
  <c r="G72" i="25"/>
  <c r="F72" i="25"/>
  <c r="F70" i="25"/>
  <c r="F65" i="25"/>
  <c r="F64" i="25"/>
  <c r="T21" i="35"/>
  <c r="C31" i="4"/>
  <c r="R21" i="35"/>
  <c r="V21" i="35" s="1"/>
  <c r="Z21" i="35" s="1"/>
  <c r="AD21" i="35" s="1"/>
  <c r="Q21" i="35"/>
  <c r="C17" i="2"/>
  <c r="C15" i="2"/>
  <c r="B20" i="35"/>
  <c r="B18" i="35"/>
  <c r="B17" i="35"/>
  <c r="I7" i="35"/>
  <c r="I10" i="35"/>
  <c r="I11" i="35"/>
  <c r="I12" i="35"/>
  <c r="I13" i="35"/>
  <c r="I14" i="35"/>
  <c r="I15" i="35"/>
  <c r="I16" i="35"/>
  <c r="I17" i="35"/>
  <c r="I18" i="35"/>
  <c r="I19" i="35"/>
  <c r="I20" i="35"/>
  <c r="I21" i="35"/>
  <c r="I6" i="35"/>
  <c r="S21" i="35"/>
  <c r="W21" i="35" s="1"/>
  <c r="AA21" i="35" s="1"/>
  <c r="AE21" i="35" s="1"/>
  <c r="P19" i="35"/>
  <c r="P42" i="35" s="1"/>
  <c r="P18" i="35"/>
  <c r="P17" i="35"/>
  <c r="P16" i="35"/>
  <c r="P15" i="35"/>
  <c r="P14" i="35"/>
  <c r="P37" i="35" s="1"/>
  <c r="P13" i="35"/>
  <c r="P12" i="35"/>
  <c r="P11" i="35"/>
  <c r="P10" i="35"/>
  <c r="P9" i="35"/>
  <c r="P8" i="35"/>
  <c r="P7" i="35"/>
  <c r="P6" i="35"/>
  <c r="B16" i="35"/>
  <c r="B15" i="35"/>
  <c r="B6" i="35"/>
  <c r="B9" i="35" s="1"/>
  <c r="B7" i="35"/>
  <c r="C43" i="32"/>
  <c r="C46" i="32" s="1"/>
  <c r="G43" i="32"/>
  <c r="G46" i="32" s="1"/>
  <c r="G49" i="32" s="1"/>
  <c r="C31" i="32"/>
  <c r="D158" i="25"/>
  <c r="D157" i="25"/>
  <c r="D156" i="25"/>
  <c r="D155" i="25"/>
  <c r="D154" i="25"/>
  <c r="D153" i="25"/>
  <c r="D151" i="25"/>
  <c r="D149" i="25"/>
  <c r="D148" i="25"/>
  <c r="D138" i="25"/>
  <c r="D137" i="25"/>
  <c r="D136" i="25"/>
  <c r="D135" i="25"/>
  <c r="D134" i="25"/>
  <c r="D133" i="25"/>
  <c r="D131" i="25"/>
  <c r="D129" i="25"/>
  <c r="D128" i="25"/>
  <c r="D118" i="25"/>
  <c r="D117" i="25"/>
  <c r="D116" i="25"/>
  <c r="D115" i="25"/>
  <c r="D114" i="25"/>
  <c r="D113" i="25"/>
  <c r="D111" i="25"/>
  <c r="D109" i="25"/>
  <c r="D108" i="25"/>
  <c r="D98" i="25"/>
  <c r="D97" i="25"/>
  <c r="D96" i="25"/>
  <c r="D95" i="25"/>
  <c r="D94" i="25"/>
  <c r="D93" i="25"/>
  <c r="D91" i="25"/>
  <c r="D89" i="25"/>
  <c r="D88" i="25"/>
  <c r="D78" i="25"/>
  <c r="D77" i="25"/>
  <c r="D76" i="25"/>
  <c r="D75" i="25"/>
  <c r="D74" i="25"/>
  <c r="D73" i="25"/>
  <c r="D71" i="25"/>
  <c r="D69" i="25"/>
  <c r="D68" i="25"/>
  <c r="D46" i="25"/>
  <c r="D47" i="25"/>
  <c r="D49" i="25"/>
  <c r="D51" i="25"/>
  <c r="D52" i="25"/>
  <c r="D53" i="25"/>
  <c r="D54" i="25"/>
  <c r="D55" i="25"/>
  <c r="D56" i="25"/>
  <c r="J13" i="1"/>
  <c r="C11" i="1"/>
  <c r="C32" i="1"/>
  <c r="D63" i="1" s="1"/>
  <c r="C61" i="32"/>
  <c r="X21" i="35" l="1"/>
  <c r="AB21" i="35" s="1"/>
  <c r="AF21" i="35" s="1"/>
  <c r="C59" i="32"/>
  <c r="B19" i="35"/>
  <c r="B21" i="35" s="1"/>
  <c r="I33" i="35"/>
  <c r="I31" i="35"/>
  <c r="I30" i="35"/>
  <c r="I26" i="35"/>
  <c r="I32" i="35"/>
  <c r="I25" i="35"/>
  <c r="I38" i="35"/>
  <c r="I37" i="35"/>
  <c r="I29" i="35"/>
  <c r="I36" i="35"/>
  <c r="I28" i="35"/>
  <c r="I35" i="35"/>
  <c r="I27" i="35"/>
  <c r="I34" i="35"/>
  <c r="P29" i="35"/>
  <c r="P34" i="35"/>
  <c r="P30" i="35"/>
  <c r="P38" i="35"/>
  <c r="P33" i="35"/>
  <c r="P32" i="35"/>
  <c r="P39" i="35"/>
  <c r="P40" i="35"/>
  <c r="P36" i="35"/>
  <c r="P31" i="35"/>
  <c r="P35" i="35"/>
  <c r="P41" i="35"/>
  <c r="D51" i="1"/>
  <c r="D53" i="1" s="1"/>
  <c r="H43" i="32"/>
  <c r="G59" i="32"/>
  <c r="D43" i="32"/>
  <c r="C48" i="32"/>
  <c r="C12" i="1"/>
  <c r="B131" i="25"/>
  <c r="B91" i="25"/>
  <c r="B71" i="25"/>
  <c r="B151" i="25" s="1"/>
  <c r="B49" i="25"/>
  <c r="B57" i="25"/>
  <c r="E16" i="25"/>
  <c r="C16" i="25"/>
  <c r="C9" i="32"/>
  <c r="I36" i="1"/>
  <c r="E34" i="1"/>
  <c r="I30" i="1"/>
  <c r="C21" i="32"/>
  <c r="E31" i="32"/>
  <c r="E32" i="32" s="1"/>
  <c r="C19" i="25"/>
  <c r="D31" i="32"/>
  <c r="D32" i="32" s="1"/>
  <c r="C32" i="32"/>
  <c r="D21" i="25" l="1"/>
  <c r="D19" i="25"/>
  <c r="B25" i="35"/>
  <c r="C27" i="25"/>
  <c r="C22" i="25"/>
  <c r="D22" i="25" s="1"/>
  <c r="D46" i="32"/>
  <c r="D59" i="32"/>
  <c r="H59" i="32"/>
  <c r="H46" i="32"/>
  <c r="H49" i="32" s="1"/>
  <c r="C44" i="32"/>
  <c r="D44" i="32"/>
  <c r="C124" i="25"/>
  <c r="C132" i="25" s="1"/>
  <c r="C144" i="25"/>
  <c r="C152" i="25" s="1"/>
  <c r="C64" i="25"/>
  <c r="C84" i="25"/>
  <c r="C92" i="25" s="1"/>
  <c r="C42" i="25"/>
  <c r="C104" i="25"/>
  <c r="C112" i="25" s="1"/>
  <c r="C25" i="25"/>
  <c r="L61" i="1"/>
  <c r="L65" i="1" s="1"/>
  <c r="F150" i="25" s="1"/>
  <c r="F20" i="8"/>
  <c r="F24" i="8" s="1"/>
  <c r="H4" i="1"/>
  <c r="H5" i="1"/>
  <c r="H6" i="1"/>
  <c r="H7" i="1"/>
  <c r="H8" i="1"/>
  <c r="H9" i="1"/>
  <c r="H3" i="1"/>
  <c r="C72" i="25" l="1"/>
  <c r="C67" i="25"/>
  <c r="D67" i="25" s="1"/>
  <c r="C50" i="25"/>
  <c r="C45" i="25"/>
  <c r="D45" i="25" s="1"/>
  <c r="D49" i="32"/>
  <c r="F20" i="25"/>
  <c r="D47" i="32"/>
  <c r="F27" i="25" s="1"/>
  <c r="D60" i="32"/>
  <c r="D62" i="32" s="1"/>
  <c r="C47" i="32"/>
  <c r="G27" i="25" s="1"/>
  <c r="C60" i="32"/>
  <c r="C49" i="32"/>
  <c r="C62" i="32"/>
  <c r="C110" i="25"/>
  <c r="C150" i="25"/>
  <c r="C48" i="25"/>
  <c r="C130" i="25"/>
  <c r="C70" i="25"/>
  <c r="C90" i="25"/>
  <c r="D84" i="25"/>
  <c r="D64" i="25"/>
  <c r="D104" i="25"/>
  <c r="D144" i="25"/>
  <c r="D42" i="25"/>
  <c r="D124" i="25"/>
  <c r="C20" i="25"/>
  <c r="D25" i="25"/>
  <c r="G10" i="1"/>
  <c r="H10" i="1"/>
  <c r="C51" i="1" s="1"/>
  <c r="D90" i="25" l="1"/>
  <c r="D48" i="25"/>
  <c r="D150" i="25"/>
  <c r="D70" i="25"/>
  <c r="D130" i="25"/>
  <c r="D110" i="25"/>
  <c r="D20" i="25"/>
  <c r="D27" i="25" s="1"/>
  <c r="C85" i="25"/>
  <c r="C145" i="25"/>
  <c r="C65" i="25"/>
  <c r="C125" i="25"/>
  <c r="C43" i="25"/>
  <c r="C105" i="25"/>
  <c r="C20" i="1"/>
  <c r="C63" i="1"/>
  <c r="E26" i="25"/>
  <c r="E49" i="25" s="1"/>
  <c r="C26" i="25"/>
  <c r="D4" i="34"/>
  <c r="C4" i="34"/>
  <c r="C22" i="34"/>
  <c r="G49" i="25" s="1"/>
  <c r="BH7" i="25"/>
  <c r="BG7" i="25"/>
  <c r="BF7" i="25"/>
  <c r="BE7" i="25"/>
  <c r="F10" i="25"/>
  <c r="F13" i="25"/>
  <c r="C8" i="25"/>
  <c r="C13" i="25"/>
  <c r="F8" i="25"/>
  <c r="C41" i="34" l="1"/>
  <c r="F71" i="25" s="1"/>
  <c r="C36" i="34"/>
  <c r="C42" i="34"/>
  <c r="F111" i="25" s="1"/>
  <c r="C37" i="34"/>
  <c r="C7" i="34"/>
  <c r="C49" i="25"/>
  <c r="C91" i="25"/>
  <c r="C71" i="25"/>
  <c r="C151" i="25"/>
  <c r="C131" i="25"/>
  <c r="C111" i="25"/>
  <c r="D145" i="25"/>
  <c r="D152" i="25" s="1"/>
  <c r="D65" i="25"/>
  <c r="D72" i="25" s="1"/>
  <c r="D125" i="25"/>
  <c r="D132" i="25" s="1"/>
  <c r="D105" i="25"/>
  <c r="D112" i="25" s="1"/>
  <c r="D85" i="25"/>
  <c r="D92" i="25" s="1"/>
  <c r="D43" i="25"/>
  <c r="D50" i="25" s="1"/>
  <c r="G30" i="1"/>
  <c r="G34" i="1"/>
  <c r="G32" i="1"/>
  <c r="H61" i="1" s="1"/>
  <c r="H65" i="1" s="1"/>
  <c r="K61" i="1"/>
  <c r="K65" i="1" s="1"/>
  <c r="D7" i="34"/>
  <c r="E111" i="25"/>
  <c r="E71" i="25"/>
  <c r="E91" i="25"/>
  <c r="K30" i="1" l="1"/>
  <c r="D62" i="1" s="1"/>
  <c r="K29" i="1"/>
  <c r="D61" i="1" s="1"/>
  <c r="K36" i="1"/>
  <c r="K35" i="1"/>
  <c r="K34" i="1"/>
  <c r="D65" i="1" l="1"/>
  <c r="D54" i="1"/>
  <c r="D18" i="28" l="1"/>
  <c r="G159" i="25" l="1"/>
  <c r="G139" i="25"/>
  <c r="G99" i="25"/>
  <c r="D11" i="28"/>
  <c r="D12" i="28" s="1"/>
  <c r="D22" i="28"/>
  <c r="D23" i="28" s="1"/>
  <c r="G119" i="25" l="1"/>
  <c r="F119" i="25"/>
  <c r="C35" i="8"/>
  <c r="C34" i="8"/>
  <c r="C5" i="2" l="1"/>
  <c r="E32" i="25" l="1"/>
  <c r="C32" i="25"/>
  <c r="C31" i="25"/>
  <c r="E30" i="25"/>
  <c r="C30" i="25"/>
  <c r="C29" i="25"/>
  <c r="C94" i="25" l="1"/>
  <c r="C74" i="25"/>
  <c r="C154" i="25"/>
  <c r="C114" i="25"/>
  <c r="C134" i="25"/>
  <c r="C52" i="25"/>
  <c r="C97" i="25"/>
  <c r="C157" i="25"/>
  <c r="C137" i="25"/>
  <c r="C77" i="25"/>
  <c r="C55" i="25"/>
  <c r="C117" i="25"/>
  <c r="C115" i="25"/>
  <c r="C53" i="25"/>
  <c r="C155" i="25"/>
  <c r="C135" i="25"/>
  <c r="C75" i="25"/>
  <c r="C95" i="25"/>
  <c r="C156" i="25"/>
  <c r="C136" i="25"/>
  <c r="C116" i="25"/>
  <c r="C76" i="25"/>
  <c r="C96" i="25"/>
  <c r="C54" i="25"/>
  <c r="H11" i="28"/>
  <c r="G57" i="25" s="1"/>
  <c r="F7" i="2" l="1"/>
  <c r="D55" i="1" l="1"/>
  <c r="F25" i="25" s="1"/>
  <c r="C53" i="1"/>
  <c r="G9" i="7"/>
  <c r="E18" i="30"/>
  <c r="E148" i="25"/>
  <c r="H23" i="4"/>
  <c r="C7" i="4" l="1"/>
  <c r="G6" i="4" s="1"/>
  <c r="F12" i="2"/>
  <c r="E12" i="7"/>
  <c r="E11" i="7"/>
  <c r="E10" i="7"/>
  <c r="G23" i="4" l="1"/>
  <c r="G24" i="4" s="1"/>
  <c r="C34" i="4" s="1"/>
  <c r="F6" i="4"/>
  <c r="C38" i="34"/>
  <c r="F26" i="25" s="1"/>
  <c r="D24" i="28"/>
  <c r="E19" i="30"/>
  <c r="D13" i="28"/>
  <c r="G10" i="7"/>
  <c r="C33" i="8"/>
  <c r="C28" i="8"/>
  <c r="C6" i="9"/>
  <c r="G26" i="4" l="1"/>
  <c r="F23" i="4"/>
  <c r="F24" i="4" s="1"/>
  <c r="E99" i="25" l="1"/>
  <c r="B99" i="25"/>
  <c r="F98" i="25"/>
  <c r="B98" i="25"/>
  <c r="E97" i="25"/>
  <c r="B97" i="25"/>
  <c r="F96" i="25"/>
  <c r="B96" i="25"/>
  <c r="F95" i="25"/>
  <c r="E95" i="25"/>
  <c r="B95" i="25"/>
  <c r="B94" i="25"/>
  <c r="F93" i="25"/>
  <c r="B93" i="25"/>
  <c r="F89" i="25"/>
  <c r="B89" i="25"/>
  <c r="B88" i="25"/>
  <c r="E85" i="25"/>
  <c r="B85" i="25"/>
  <c r="E84" i="25"/>
  <c r="B84" i="25"/>
  <c r="BH83" i="25"/>
  <c r="BG83" i="25"/>
  <c r="BF83" i="25"/>
  <c r="BE83" i="25"/>
  <c r="C28" i="25"/>
  <c r="E28" i="25"/>
  <c r="E93" i="25" s="1"/>
  <c r="C113" i="25" l="1"/>
  <c r="C93" i="25"/>
  <c r="C51" i="25"/>
  <c r="C73" i="25"/>
  <c r="C153" i="25"/>
  <c r="C133" i="25"/>
  <c r="F101" i="25"/>
  <c r="O3" i="2" l="1"/>
  <c r="C3" i="30" l="1"/>
  <c r="C6" i="30" s="1"/>
  <c r="I29" i="30"/>
  <c r="F51" i="25" s="1"/>
  <c r="I21" i="30"/>
  <c r="G51" i="25" s="1"/>
  <c r="C36" i="30" l="1"/>
  <c r="C42" i="30"/>
  <c r="C8" i="30"/>
  <c r="C9" i="30"/>
  <c r="C37" i="30" s="1"/>
  <c r="C34" i="30" l="1"/>
  <c r="C35" i="30" s="1"/>
  <c r="F73" i="25"/>
  <c r="D42" i="30"/>
  <c r="D34" i="30" l="1"/>
  <c r="D35" i="30" s="1"/>
  <c r="C38" i="30" s="1"/>
  <c r="F28" i="25" s="1"/>
  <c r="F113" i="25"/>
  <c r="E94" i="25"/>
  <c r="E23" i="25"/>
  <c r="C23" i="25"/>
  <c r="C18" i="11"/>
  <c r="G52" i="25" s="1"/>
  <c r="C148" i="25" l="1"/>
  <c r="C68" i="25"/>
  <c r="C108" i="25"/>
  <c r="C88" i="25"/>
  <c r="C128" i="25"/>
  <c r="C46" i="25"/>
  <c r="E46" i="25"/>
  <c r="E88" i="25"/>
  <c r="D34" i="25"/>
  <c r="H4" i="25"/>
  <c r="C25" i="9"/>
  <c r="F46" i="25" s="1"/>
  <c r="C17" i="9"/>
  <c r="G46" i="25" s="1"/>
  <c r="C33" i="3"/>
  <c r="F56" i="25" s="1"/>
  <c r="C25" i="3"/>
  <c r="G56" i="25" s="1"/>
  <c r="C12" i="2"/>
  <c r="H21" i="25" l="1"/>
  <c r="H22" i="25"/>
  <c r="H19" i="25"/>
  <c r="U21" i="35"/>
  <c r="C26" i="34"/>
  <c r="C30" i="34" s="1"/>
  <c r="F49" i="25" s="1"/>
  <c r="H151" i="25"/>
  <c r="H131" i="25"/>
  <c r="H111" i="25"/>
  <c r="H97" i="25"/>
  <c r="H96" i="25"/>
  <c r="H95" i="25"/>
  <c r="H94" i="25"/>
  <c r="H93" i="25"/>
  <c r="H91" i="25"/>
  <c r="H88" i="25"/>
  <c r="H71" i="25"/>
  <c r="H29" i="25"/>
  <c r="H28" i="25"/>
  <c r="H26" i="25"/>
  <c r="H23" i="25"/>
  <c r="H46" i="25"/>
  <c r="H49" i="25"/>
  <c r="H67" i="25" s="1"/>
  <c r="D159" i="25"/>
  <c r="D57" i="25"/>
  <c r="D139" i="25"/>
  <c r="D119" i="25"/>
  <c r="D99" i="25"/>
  <c r="D79" i="25"/>
  <c r="H5" i="25"/>
  <c r="H7" i="25"/>
  <c r="C18" i="28"/>
  <c r="E9" i="7"/>
  <c r="F9" i="7" s="1"/>
  <c r="C36" i="7" s="1"/>
  <c r="H83" i="25"/>
  <c r="H38" i="25" l="1"/>
  <c r="Y21" i="35"/>
  <c r="H48" i="25"/>
  <c r="H12" i="25"/>
  <c r="H11" i="25"/>
  <c r="H150" i="25"/>
  <c r="H132" i="25"/>
  <c r="H130" i="25"/>
  <c r="H112" i="25"/>
  <c r="H92" i="25"/>
  <c r="H90" i="25"/>
  <c r="H72" i="25"/>
  <c r="H152" i="25"/>
  <c r="H70" i="25"/>
  <c r="H27" i="25"/>
  <c r="H37" i="25" s="1"/>
  <c r="H50" i="25"/>
  <c r="H110" i="25"/>
  <c r="H25" i="25"/>
  <c r="C32" i="8"/>
  <c r="C27" i="8"/>
  <c r="C22" i="28"/>
  <c r="C11" i="28"/>
  <c r="G79" i="25" s="1"/>
  <c r="E9" i="11"/>
  <c r="E10" i="11" s="1"/>
  <c r="H39" i="25" l="1"/>
  <c r="AC21" i="35"/>
  <c r="F79" i="25"/>
  <c r="C23" i="28"/>
  <c r="C24" i="28" s="1"/>
  <c r="F34" i="25" s="1"/>
  <c r="H9" i="7"/>
  <c r="C12" i="28"/>
  <c r="C13" i="28" s="1"/>
  <c r="G34" i="25" s="1"/>
  <c r="O22" i="2"/>
  <c r="C22" i="11" s="1"/>
  <c r="C26" i="11" s="1"/>
  <c r="O4" i="2"/>
  <c r="O10" i="2"/>
  <c r="O30" i="2"/>
  <c r="O29" i="2"/>
  <c r="O21" i="2"/>
  <c r="F9" i="11" s="1"/>
  <c r="F10" i="11" s="1"/>
  <c r="O20" i="2"/>
  <c r="O11" i="2"/>
  <c r="D9" i="11" s="1"/>
  <c r="D10" i="11" s="1"/>
  <c r="O8" i="2"/>
  <c r="O24" i="2"/>
  <c r="O23" i="2" l="1"/>
  <c r="O25" i="2" s="1"/>
  <c r="O12" i="2"/>
  <c r="C9" i="11" l="1"/>
  <c r="C10" i="11" s="1"/>
  <c r="F52" i="25" s="1"/>
  <c r="H52" i="25" s="1"/>
  <c r="O14" i="2"/>
  <c r="H19" i="28"/>
  <c r="F57" i="25" s="1"/>
  <c r="O5" i="2"/>
  <c r="O16" i="2" l="1"/>
  <c r="O27" i="2" s="1"/>
  <c r="O32" i="2" s="1"/>
  <c r="BH143" i="25" l="1"/>
  <c r="BG143" i="25"/>
  <c r="BF143" i="25"/>
  <c r="BE143" i="25"/>
  <c r="BH123" i="25"/>
  <c r="BG123" i="25"/>
  <c r="BF123" i="25"/>
  <c r="BE123" i="25"/>
  <c r="BH103" i="25"/>
  <c r="BG103" i="25"/>
  <c r="BF103" i="25"/>
  <c r="BE103" i="25"/>
  <c r="BH63" i="25"/>
  <c r="BG63" i="25"/>
  <c r="BF63" i="25"/>
  <c r="BE63" i="25"/>
  <c r="BH41" i="25"/>
  <c r="BG41" i="25"/>
  <c r="BF41" i="25"/>
  <c r="BE41" i="25"/>
  <c r="BF18" i="25"/>
  <c r="BG18" i="25"/>
  <c r="BH18" i="25"/>
  <c r="BE18" i="25"/>
  <c r="C36" i="4"/>
  <c r="C37" i="4" s="1"/>
  <c r="F32" i="25" s="1"/>
  <c r="H32" i="25" s="1"/>
  <c r="H24" i="4"/>
  <c r="F155" i="25"/>
  <c r="F135" i="25"/>
  <c r="F115" i="25"/>
  <c r="F75" i="25"/>
  <c r="F11" i="7"/>
  <c r="F10" i="7"/>
  <c r="F76" i="25"/>
  <c r="E159" i="25"/>
  <c r="B159" i="25"/>
  <c r="B158" i="25"/>
  <c r="E157" i="25"/>
  <c r="H157" i="25" s="1"/>
  <c r="B157" i="25"/>
  <c r="E156" i="25"/>
  <c r="B156" i="25"/>
  <c r="E155" i="25"/>
  <c r="B155" i="25"/>
  <c r="E154" i="25"/>
  <c r="H154" i="25" s="1"/>
  <c r="B154" i="25"/>
  <c r="E153" i="25"/>
  <c r="H153" i="25" s="1"/>
  <c r="B153" i="25"/>
  <c r="B149" i="25"/>
  <c r="B148" i="25"/>
  <c r="E145" i="25"/>
  <c r="B145" i="25"/>
  <c r="E144" i="25"/>
  <c r="B144" i="25"/>
  <c r="E139" i="25"/>
  <c r="E161" i="25" s="1"/>
  <c r="B139" i="25"/>
  <c r="B138" i="25"/>
  <c r="E137" i="25"/>
  <c r="B137" i="25"/>
  <c r="E136" i="25"/>
  <c r="B136" i="25"/>
  <c r="E135" i="25"/>
  <c r="H135" i="25" s="1"/>
  <c r="B135" i="25"/>
  <c r="E134" i="25"/>
  <c r="H134" i="25" s="1"/>
  <c r="B134" i="25"/>
  <c r="E133" i="25"/>
  <c r="H133" i="25" s="1"/>
  <c r="B133" i="25"/>
  <c r="B129" i="25"/>
  <c r="E128" i="25"/>
  <c r="H128" i="25" s="1"/>
  <c r="B128" i="25"/>
  <c r="E125" i="25"/>
  <c r="B125" i="25"/>
  <c r="E124" i="25"/>
  <c r="B124" i="25"/>
  <c r="E119" i="25"/>
  <c r="B119" i="25"/>
  <c r="B118" i="25"/>
  <c r="E117" i="25"/>
  <c r="B117" i="25"/>
  <c r="E116" i="25"/>
  <c r="B116" i="25"/>
  <c r="E115" i="25"/>
  <c r="B115" i="25"/>
  <c r="E114" i="25"/>
  <c r="H114" i="25" s="1"/>
  <c r="B114" i="25"/>
  <c r="E113" i="25"/>
  <c r="H113" i="25" s="1"/>
  <c r="B113" i="25"/>
  <c r="B109" i="25"/>
  <c r="E108" i="25"/>
  <c r="H108" i="25" s="1"/>
  <c r="B108" i="25"/>
  <c r="E105" i="25"/>
  <c r="B105" i="25"/>
  <c r="E104" i="25"/>
  <c r="B104" i="25"/>
  <c r="E79" i="25"/>
  <c r="E101" i="25" s="1"/>
  <c r="B79" i="25"/>
  <c r="B78" i="25"/>
  <c r="E77" i="25"/>
  <c r="H77" i="25" s="1"/>
  <c r="B77" i="25"/>
  <c r="E76" i="25"/>
  <c r="B76" i="25"/>
  <c r="E75" i="25"/>
  <c r="B75" i="25"/>
  <c r="E74" i="25"/>
  <c r="H74" i="25" s="1"/>
  <c r="B74" i="25"/>
  <c r="E73" i="25"/>
  <c r="H73" i="25" s="1"/>
  <c r="B73" i="25"/>
  <c r="B69" i="25"/>
  <c r="E68" i="25"/>
  <c r="H68" i="25" s="1"/>
  <c r="B68" i="25"/>
  <c r="E65" i="25"/>
  <c r="B65" i="25"/>
  <c r="E64" i="25"/>
  <c r="B64" i="25"/>
  <c r="E57" i="25"/>
  <c r="E55" i="25"/>
  <c r="E54" i="25"/>
  <c r="E51" i="25"/>
  <c r="H51" i="25" s="1"/>
  <c r="E43" i="25"/>
  <c r="E42" i="25"/>
  <c r="B56" i="25"/>
  <c r="B55" i="25"/>
  <c r="B54" i="25"/>
  <c r="B53" i="25"/>
  <c r="B52" i="25"/>
  <c r="B51" i="25"/>
  <c r="B47" i="25"/>
  <c r="B46" i="25"/>
  <c r="B43" i="25"/>
  <c r="B42" i="25"/>
  <c r="H75" i="25" l="1"/>
  <c r="H115" i="25"/>
  <c r="H155" i="25"/>
  <c r="AF6" i="35"/>
  <c r="AF29" i="35" s="1"/>
  <c r="T6" i="35"/>
  <c r="T29" i="35" s="1"/>
  <c r="AE6" i="35"/>
  <c r="AE29" i="35" s="1"/>
  <c r="S6" i="35"/>
  <c r="S29" i="35" s="1"/>
  <c r="AA6" i="35"/>
  <c r="AA29" i="35" s="1"/>
  <c r="AB6" i="35"/>
  <c r="AB29" i="35" s="1"/>
  <c r="X6" i="35"/>
  <c r="X29" i="35" s="1"/>
  <c r="W6" i="35"/>
  <c r="W29" i="35" s="1"/>
  <c r="T7" i="35"/>
  <c r="T30" i="35" s="1"/>
  <c r="W7" i="35"/>
  <c r="W30" i="35" s="1"/>
  <c r="S7" i="35"/>
  <c r="S30" i="35" s="1"/>
  <c r="AE7" i="35"/>
  <c r="AE30" i="35" s="1"/>
  <c r="AB7" i="35"/>
  <c r="AB30" i="35" s="1"/>
  <c r="AA7" i="35"/>
  <c r="AA30" i="35" s="1"/>
  <c r="X7" i="35"/>
  <c r="X30" i="35" s="1"/>
  <c r="AF7" i="35"/>
  <c r="AF30" i="35" s="1"/>
  <c r="H76" i="25"/>
  <c r="E121" i="25"/>
  <c r="H10" i="7"/>
  <c r="C37" i="7"/>
  <c r="F116" i="25" s="1"/>
  <c r="H116" i="25" s="1"/>
  <c r="C38" i="7"/>
  <c r="F136" i="25" s="1"/>
  <c r="H136" i="25" s="1"/>
  <c r="F117" i="25"/>
  <c r="H117" i="25" s="1"/>
  <c r="E141" i="25"/>
  <c r="E33" i="25"/>
  <c r="E98" i="25" s="1"/>
  <c r="C33" i="25"/>
  <c r="C81" i="25"/>
  <c r="E81" i="25"/>
  <c r="C3" i="3"/>
  <c r="C14" i="3" s="1"/>
  <c r="C56" i="25" l="1"/>
  <c r="C118" i="25"/>
  <c r="C158" i="25"/>
  <c r="C98" i="25"/>
  <c r="H98" i="25" s="1"/>
  <c r="C78" i="25"/>
  <c r="C138" i="25"/>
  <c r="H138" i="25" s="1"/>
  <c r="C5" i="3"/>
  <c r="E138" i="25"/>
  <c r="E118" i="25"/>
  <c r="E78" i="25"/>
  <c r="E56" i="25"/>
  <c r="E158" i="25"/>
  <c r="H56" i="25" l="1"/>
  <c r="F137" i="25"/>
  <c r="D14" i="3"/>
  <c r="D15" i="3" s="1"/>
  <c r="E14" i="3"/>
  <c r="E15" i="3" s="1"/>
  <c r="F158" i="25" s="1"/>
  <c r="H158" i="25" s="1"/>
  <c r="C25" i="4"/>
  <c r="F55" i="25" s="1"/>
  <c r="H55" i="25"/>
  <c r="F53" i="25"/>
  <c r="H53" i="25" s="1"/>
  <c r="C28" i="7"/>
  <c r="F54" i="25" s="1"/>
  <c r="H54" i="25" s="1"/>
  <c r="F12" i="7"/>
  <c r="H11" i="7"/>
  <c r="E24" i="25"/>
  <c r="C24" i="25"/>
  <c r="I18" i="1"/>
  <c r="G46" i="1"/>
  <c r="F47" i="25" s="1"/>
  <c r="C34" i="25" l="1"/>
  <c r="H34" i="25" s="1"/>
  <c r="F141" i="25"/>
  <c r="H137" i="25"/>
  <c r="C89" i="25"/>
  <c r="C109" i="25"/>
  <c r="C129" i="25"/>
  <c r="C47" i="25"/>
  <c r="C149" i="25"/>
  <c r="C69" i="25"/>
  <c r="E69" i="25"/>
  <c r="E109" i="25"/>
  <c r="C39" i="7"/>
  <c r="F156" i="25" s="1"/>
  <c r="H156" i="25" s="1"/>
  <c r="F118" i="25"/>
  <c r="H118" i="25" s="1"/>
  <c r="D16" i="3"/>
  <c r="C15" i="3"/>
  <c r="E47" i="25"/>
  <c r="E89" i="25"/>
  <c r="H63" i="25"/>
  <c r="H143" i="25"/>
  <c r="H41" i="25"/>
  <c r="H18" i="25"/>
  <c r="H103" i="25"/>
  <c r="H123" i="25"/>
  <c r="H43" i="25"/>
  <c r="H12" i="7"/>
  <c r="E129" i="25"/>
  <c r="E149" i="25"/>
  <c r="H2" i="25"/>
  <c r="H3" i="25"/>
  <c r="I4" i="25"/>
  <c r="I22" i="25" l="1"/>
  <c r="I38" i="25" s="1"/>
  <c r="I21" i="25"/>
  <c r="C139" i="25"/>
  <c r="H139" i="25" s="1"/>
  <c r="C79" i="25"/>
  <c r="I79" i="25" s="1"/>
  <c r="C99" i="25"/>
  <c r="H99" i="25" s="1"/>
  <c r="H47" i="25"/>
  <c r="C57" i="25"/>
  <c r="H57" i="25" s="1"/>
  <c r="I158" i="25"/>
  <c r="I157" i="25"/>
  <c r="I156" i="25"/>
  <c r="I155" i="25"/>
  <c r="I154" i="25"/>
  <c r="I153" i="25"/>
  <c r="I151" i="25"/>
  <c r="I138" i="25"/>
  <c r="I137" i="25"/>
  <c r="I136" i="25"/>
  <c r="I135" i="25"/>
  <c r="I134" i="25"/>
  <c r="I133" i="25"/>
  <c r="I131" i="25"/>
  <c r="I129" i="25"/>
  <c r="I128" i="25"/>
  <c r="I118" i="25"/>
  <c r="I117" i="25"/>
  <c r="I116" i="25"/>
  <c r="I114" i="25"/>
  <c r="I113" i="25"/>
  <c r="I111" i="25"/>
  <c r="I108" i="25"/>
  <c r="I99" i="25"/>
  <c r="I98" i="25"/>
  <c r="I97" i="25"/>
  <c r="I96" i="25"/>
  <c r="I95" i="25"/>
  <c r="I94" i="25"/>
  <c r="I115" i="25"/>
  <c r="I91" i="25"/>
  <c r="I88" i="25"/>
  <c r="I76" i="25"/>
  <c r="I74" i="25"/>
  <c r="I71" i="25"/>
  <c r="I68" i="25"/>
  <c r="I56" i="25"/>
  <c r="I55" i="25"/>
  <c r="I54" i="25"/>
  <c r="I53" i="25"/>
  <c r="I52" i="25"/>
  <c r="I51" i="25"/>
  <c r="I49" i="25"/>
  <c r="I67" i="25" s="1"/>
  <c r="I47" i="25"/>
  <c r="I34" i="25"/>
  <c r="I32" i="25"/>
  <c r="I29" i="25"/>
  <c r="I28" i="25"/>
  <c r="I26" i="25"/>
  <c r="I23" i="25"/>
  <c r="I73" i="25"/>
  <c r="I93" i="25"/>
  <c r="I46" i="25"/>
  <c r="I77" i="25"/>
  <c r="I75" i="25"/>
  <c r="I89" i="25"/>
  <c r="H129" i="25"/>
  <c r="C119" i="25"/>
  <c r="H119" i="25" s="1"/>
  <c r="H89" i="25"/>
  <c r="C159" i="25"/>
  <c r="H159" i="25" s="1"/>
  <c r="H20" i="25"/>
  <c r="I19" i="25"/>
  <c r="H64" i="25"/>
  <c r="H13" i="25"/>
  <c r="I5" i="25"/>
  <c r="I11" i="25" s="1"/>
  <c r="H8" i="25"/>
  <c r="I7" i="25"/>
  <c r="H65" i="25"/>
  <c r="F78" i="25"/>
  <c r="H78" i="25" s="1"/>
  <c r="C16" i="3"/>
  <c r="F33" i="25" s="1"/>
  <c r="H33" i="25" s="1"/>
  <c r="I83" i="25"/>
  <c r="I103" i="25"/>
  <c r="I143" i="25"/>
  <c r="I63" i="25"/>
  <c r="I41" i="25"/>
  <c r="I18" i="25"/>
  <c r="I123" i="25"/>
  <c r="I43" i="25"/>
  <c r="H42" i="25"/>
  <c r="J4" i="25"/>
  <c r="I2" i="25"/>
  <c r="I3" i="25"/>
  <c r="I65" i="25" s="1"/>
  <c r="I139" i="25" l="1"/>
  <c r="J22" i="25"/>
  <c r="J38" i="25" s="1"/>
  <c r="J21" i="25"/>
  <c r="I78" i="25"/>
  <c r="J159" i="25"/>
  <c r="J158" i="25"/>
  <c r="J157" i="25"/>
  <c r="J156" i="25"/>
  <c r="J155" i="25"/>
  <c r="J154" i="25"/>
  <c r="J153" i="25"/>
  <c r="J151" i="25"/>
  <c r="J139" i="25"/>
  <c r="J138" i="25"/>
  <c r="J137" i="25"/>
  <c r="J136" i="25"/>
  <c r="J135" i="25"/>
  <c r="J134" i="25"/>
  <c r="J133" i="25"/>
  <c r="J131" i="25"/>
  <c r="J129" i="25"/>
  <c r="J128" i="25"/>
  <c r="J119" i="25"/>
  <c r="J118" i="25"/>
  <c r="J117" i="25"/>
  <c r="J116" i="25"/>
  <c r="J115" i="25"/>
  <c r="J114" i="25"/>
  <c r="J111" i="25"/>
  <c r="J98" i="25"/>
  <c r="J94" i="25"/>
  <c r="J113" i="25"/>
  <c r="J99" i="25"/>
  <c r="J95" i="25"/>
  <c r="J93" i="25"/>
  <c r="J91" i="25"/>
  <c r="J89" i="25"/>
  <c r="J88" i="25"/>
  <c r="J79" i="25"/>
  <c r="J78" i="25"/>
  <c r="J77" i="25"/>
  <c r="J76" i="25"/>
  <c r="J75" i="25"/>
  <c r="J74" i="25"/>
  <c r="J73" i="25"/>
  <c r="J71" i="25"/>
  <c r="J97" i="25"/>
  <c r="J96" i="25"/>
  <c r="J108" i="25"/>
  <c r="J68" i="25"/>
  <c r="J57" i="25"/>
  <c r="J56" i="25"/>
  <c r="J55" i="25"/>
  <c r="J54" i="25"/>
  <c r="J53" i="25"/>
  <c r="J52" i="25"/>
  <c r="J51" i="25"/>
  <c r="J49" i="25"/>
  <c r="J67" i="25" s="1"/>
  <c r="J47" i="25"/>
  <c r="J34" i="25"/>
  <c r="J33" i="25"/>
  <c r="J32" i="25"/>
  <c r="J29" i="25"/>
  <c r="J28" i="25"/>
  <c r="J26" i="25"/>
  <c r="J23" i="25"/>
  <c r="J46" i="25"/>
  <c r="I57" i="25"/>
  <c r="I119" i="25"/>
  <c r="I33" i="25"/>
  <c r="C101" i="25"/>
  <c r="H79" i="25"/>
  <c r="I159" i="25"/>
  <c r="J19" i="25"/>
  <c r="I150" i="25"/>
  <c r="I132" i="25"/>
  <c r="I130" i="25"/>
  <c r="I112" i="25"/>
  <c r="I92" i="25"/>
  <c r="I90" i="25"/>
  <c r="I152" i="25"/>
  <c r="I70" i="25"/>
  <c r="I27" i="25"/>
  <c r="I37" i="25" s="1"/>
  <c r="I50" i="25"/>
  <c r="I48" i="25"/>
  <c r="I25" i="25"/>
  <c r="I72" i="25"/>
  <c r="I110" i="25"/>
  <c r="I20" i="25"/>
  <c r="H14" i="25"/>
  <c r="H15" i="25" s="1"/>
  <c r="I12" i="25"/>
  <c r="I13" i="25"/>
  <c r="J5" i="25"/>
  <c r="J11" i="25" s="1"/>
  <c r="J7" i="25"/>
  <c r="I8" i="25"/>
  <c r="I64" i="25"/>
  <c r="I105" i="25"/>
  <c r="H105" i="25"/>
  <c r="J83" i="25"/>
  <c r="H101" i="25"/>
  <c r="J18" i="25"/>
  <c r="J123" i="25"/>
  <c r="J103" i="25"/>
  <c r="J143" i="25"/>
  <c r="J63" i="25"/>
  <c r="J41" i="25"/>
  <c r="J43" i="25"/>
  <c r="I42" i="25"/>
  <c r="K4" i="25"/>
  <c r="J2" i="25"/>
  <c r="J3" i="25"/>
  <c r="I39" i="25" l="1"/>
  <c r="K22" i="25"/>
  <c r="K38" i="25" s="1"/>
  <c r="K21" i="25"/>
  <c r="K159" i="25"/>
  <c r="K158" i="25"/>
  <c r="K157" i="25"/>
  <c r="K156" i="25"/>
  <c r="K155" i="25"/>
  <c r="K154" i="25"/>
  <c r="K153" i="25"/>
  <c r="K151" i="25"/>
  <c r="K139" i="25"/>
  <c r="K138" i="25"/>
  <c r="K137" i="25"/>
  <c r="K135" i="25"/>
  <c r="K134" i="25"/>
  <c r="K133" i="25"/>
  <c r="K131" i="25"/>
  <c r="K129" i="25"/>
  <c r="K128" i="25"/>
  <c r="K119" i="25"/>
  <c r="K118" i="25"/>
  <c r="K136" i="25"/>
  <c r="K114" i="25"/>
  <c r="K117" i="25"/>
  <c r="K115" i="25"/>
  <c r="K113" i="25"/>
  <c r="K111" i="25"/>
  <c r="K108" i="25"/>
  <c r="K99" i="25"/>
  <c r="K98" i="25"/>
  <c r="K97" i="25"/>
  <c r="K96" i="25"/>
  <c r="K95" i="25"/>
  <c r="K94" i="25"/>
  <c r="K116" i="25"/>
  <c r="K93" i="25"/>
  <c r="K91" i="25"/>
  <c r="K89" i="25"/>
  <c r="K88" i="25"/>
  <c r="K79" i="25"/>
  <c r="K78" i="25"/>
  <c r="K77" i="25"/>
  <c r="K76" i="25"/>
  <c r="K75" i="25"/>
  <c r="K74" i="25"/>
  <c r="K73" i="25"/>
  <c r="K71" i="25"/>
  <c r="K68" i="25"/>
  <c r="K57" i="25"/>
  <c r="K56" i="25"/>
  <c r="K55" i="25"/>
  <c r="K54" i="25"/>
  <c r="K53" i="25"/>
  <c r="K52" i="25"/>
  <c r="K51" i="25"/>
  <c r="K49" i="25"/>
  <c r="K67" i="25" s="1"/>
  <c r="K47" i="25"/>
  <c r="K28" i="25"/>
  <c r="K26" i="25"/>
  <c r="K32" i="25"/>
  <c r="K34" i="25"/>
  <c r="K33" i="25"/>
  <c r="K29" i="25"/>
  <c r="K46" i="25"/>
  <c r="K23" i="25"/>
  <c r="J92" i="25"/>
  <c r="J152" i="25"/>
  <c r="J72" i="25"/>
  <c r="J110" i="25"/>
  <c r="J150" i="25"/>
  <c r="J132" i="25"/>
  <c r="J130" i="25"/>
  <c r="J112" i="25"/>
  <c r="J50" i="25"/>
  <c r="J48" i="25"/>
  <c r="J25" i="25"/>
  <c r="J90" i="25"/>
  <c r="J70" i="25"/>
  <c r="J27" i="25"/>
  <c r="J37" i="25" s="1"/>
  <c r="J39" i="25" s="1"/>
  <c r="J20" i="25"/>
  <c r="K19" i="25"/>
  <c r="I104" i="25"/>
  <c r="H104" i="25"/>
  <c r="J12" i="25"/>
  <c r="I14" i="25"/>
  <c r="I15" i="25" s="1"/>
  <c r="J13" i="25"/>
  <c r="K5" i="25"/>
  <c r="K11" i="25" s="1"/>
  <c r="K7" i="25"/>
  <c r="J8" i="25"/>
  <c r="J104" i="25"/>
  <c r="J105" i="25"/>
  <c r="J125" i="25"/>
  <c r="J64" i="25"/>
  <c r="H125" i="25"/>
  <c r="I125" i="25"/>
  <c r="J65" i="25"/>
  <c r="K83" i="25"/>
  <c r="I101" i="25"/>
  <c r="K41" i="25"/>
  <c r="K18" i="25"/>
  <c r="K123" i="25"/>
  <c r="K103" i="25"/>
  <c r="K143" i="25"/>
  <c r="K63" i="25"/>
  <c r="K43" i="25"/>
  <c r="J42" i="25"/>
  <c r="K3" i="25"/>
  <c r="L4" i="25"/>
  <c r="K2" i="25"/>
  <c r="L22" i="25" l="1"/>
  <c r="L38" i="25" s="1"/>
  <c r="L21" i="25"/>
  <c r="L159" i="25"/>
  <c r="L158" i="25"/>
  <c r="L157" i="25"/>
  <c r="L156" i="25"/>
  <c r="L155" i="25"/>
  <c r="L154" i="25"/>
  <c r="L153" i="25"/>
  <c r="L151" i="25"/>
  <c r="L139" i="25"/>
  <c r="L138" i="25"/>
  <c r="L137" i="25"/>
  <c r="L136" i="25"/>
  <c r="L135" i="25"/>
  <c r="L134" i="25"/>
  <c r="L133" i="25"/>
  <c r="L131" i="25"/>
  <c r="L129" i="25"/>
  <c r="L128" i="25"/>
  <c r="L119" i="25"/>
  <c r="L118" i="25"/>
  <c r="L114" i="25"/>
  <c r="L117" i="25"/>
  <c r="L115" i="25"/>
  <c r="L113" i="25"/>
  <c r="L111" i="25"/>
  <c r="L108" i="25"/>
  <c r="L99" i="25"/>
  <c r="L98" i="25"/>
  <c r="L97" i="25"/>
  <c r="L96" i="25"/>
  <c r="L95" i="25"/>
  <c r="L94" i="25"/>
  <c r="L93" i="25"/>
  <c r="L91" i="25"/>
  <c r="L89" i="25"/>
  <c r="L88" i="25"/>
  <c r="L79" i="25"/>
  <c r="L78" i="25"/>
  <c r="L77" i="25"/>
  <c r="L76" i="25"/>
  <c r="L75" i="25"/>
  <c r="L74" i="25"/>
  <c r="L73" i="25"/>
  <c r="L116" i="25"/>
  <c r="L68" i="25"/>
  <c r="L57" i="25"/>
  <c r="L56" i="25"/>
  <c r="L55" i="25"/>
  <c r="L54" i="25"/>
  <c r="L53" i="25"/>
  <c r="L52" i="25"/>
  <c r="L51" i="25"/>
  <c r="L49" i="25"/>
  <c r="L67" i="25" s="1"/>
  <c r="L47" i="25"/>
  <c r="L71" i="25"/>
  <c r="L34" i="25"/>
  <c r="L33" i="25"/>
  <c r="L32" i="25"/>
  <c r="L29" i="25"/>
  <c r="L28" i="25"/>
  <c r="L26" i="25"/>
  <c r="L23" i="25"/>
  <c r="L46" i="25"/>
  <c r="L19" i="25"/>
  <c r="K20" i="25"/>
  <c r="K92" i="25"/>
  <c r="K90" i="25"/>
  <c r="K152" i="25"/>
  <c r="K110" i="25"/>
  <c r="K150" i="25"/>
  <c r="K132" i="25"/>
  <c r="K130" i="25"/>
  <c r="K112" i="25"/>
  <c r="K50" i="25"/>
  <c r="K48" i="25"/>
  <c r="K25" i="25"/>
  <c r="K27" i="25"/>
  <c r="K37" i="25" s="1"/>
  <c r="K39" i="25" s="1"/>
  <c r="K70" i="25"/>
  <c r="K72" i="25"/>
  <c r="J124" i="25"/>
  <c r="J141" i="25" s="1"/>
  <c r="H124" i="25"/>
  <c r="H141" i="25" s="1"/>
  <c r="I124" i="25"/>
  <c r="I141" i="25" s="1"/>
  <c r="K125" i="25"/>
  <c r="J14" i="25"/>
  <c r="J15" i="25" s="1"/>
  <c r="K12" i="25"/>
  <c r="K13" i="25"/>
  <c r="L5" i="25"/>
  <c r="L11" i="25" s="1"/>
  <c r="K124" i="25"/>
  <c r="K104" i="25"/>
  <c r="K64" i="25"/>
  <c r="K8" i="25"/>
  <c r="L7" i="25"/>
  <c r="K145" i="25"/>
  <c r="K105" i="25"/>
  <c r="I145" i="25"/>
  <c r="H145" i="25"/>
  <c r="J145" i="25"/>
  <c r="K65" i="25"/>
  <c r="J101" i="25"/>
  <c r="L83" i="25"/>
  <c r="L63" i="25"/>
  <c r="L41" i="25"/>
  <c r="L18" i="25"/>
  <c r="L123" i="25"/>
  <c r="L143" i="25"/>
  <c r="L103" i="25"/>
  <c r="K42" i="25"/>
  <c r="L43" i="25"/>
  <c r="M4" i="25"/>
  <c r="L2" i="25"/>
  <c r="L3" i="25"/>
  <c r="M22" i="25" l="1"/>
  <c r="M38" i="25" s="1"/>
  <c r="M21" i="25"/>
  <c r="L20" i="25"/>
  <c r="M159" i="25"/>
  <c r="M158" i="25"/>
  <c r="M157" i="25"/>
  <c r="M156" i="25"/>
  <c r="M155" i="25"/>
  <c r="M154" i="25"/>
  <c r="M153" i="25"/>
  <c r="M151" i="25"/>
  <c r="M139" i="25"/>
  <c r="M138" i="25"/>
  <c r="M137" i="25"/>
  <c r="M136" i="25"/>
  <c r="M135" i="25"/>
  <c r="M134" i="25"/>
  <c r="M133" i="25"/>
  <c r="M131" i="25"/>
  <c r="M129" i="25"/>
  <c r="M128" i="25"/>
  <c r="M119" i="25"/>
  <c r="M118" i="25"/>
  <c r="M117" i="25"/>
  <c r="M116" i="25"/>
  <c r="M115" i="25"/>
  <c r="M113" i="25"/>
  <c r="M111" i="25"/>
  <c r="M108" i="25"/>
  <c r="M99" i="25"/>
  <c r="M98" i="25"/>
  <c r="M97" i="25"/>
  <c r="M96" i="25"/>
  <c r="M95" i="25"/>
  <c r="M94" i="25"/>
  <c r="M114" i="25"/>
  <c r="M93" i="25"/>
  <c r="M91" i="25"/>
  <c r="M89" i="25"/>
  <c r="M88" i="25"/>
  <c r="M79" i="25"/>
  <c r="M78" i="25"/>
  <c r="M77" i="25"/>
  <c r="M76" i="25"/>
  <c r="M75" i="25"/>
  <c r="M74" i="25"/>
  <c r="M73" i="25"/>
  <c r="M68" i="25"/>
  <c r="M57" i="25"/>
  <c r="M56" i="25"/>
  <c r="M55" i="25"/>
  <c r="M54" i="25"/>
  <c r="M53" i="25"/>
  <c r="M52" i="25"/>
  <c r="M51" i="25"/>
  <c r="M49" i="25"/>
  <c r="M67" i="25" s="1"/>
  <c r="M47" i="25"/>
  <c r="M34" i="25"/>
  <c r="M33" i="25"/>
  <c r="M71" i="25"/>
  <c r="M46" i="25"/>
  <c r="M32" i="25"/>
  <c r="M29" i="25"/>
  <c r="M28" i="25"/>
  <c r="M26" i="25"/>
  <c r="M23" i="25"/>
  <c r="M19" i="25"/>
  <c r="L152" i="25"/>
  <c r="L110" i="25"/>
  <c r="L150" i="25"/>
  <c r="L132" i="25"/>
  <c r="L130" i="25"/>
  <c r="L112" i="25"/>
  <c r="L92" i="25"/>
  <c r="L90" i="25"/>
  <c r="L50" i="25"/>
  <c r="L70" i="25"/>
  <c r="L72" i="25"/>
  <c r="L48" i="25"/>
  <c r="L25" i="25"/>
  <c r="L27" i="25"/>
  <c r="L37" i="25" s="1"/>
  <c r="I144" i="25"/>
  <c r="J144" i="25"/>
  <c r="H144" i="25"/>
  <c r="K144" i="25"/>
  <c r="K14" i="25"/>
  <c r="K15" i="25" s="1"/>
  <c r="L12" i="25"/>
  <c r="L13" i="25"/>
  <c r="M5" i="25"/>
  <c r="M11" i="25" s="1"/>
  <c r="L64" i="25"/>
  <c r="L144" i="25"/>
  <c r="L124" i="25"/>
  <c r="L104" i="25"/>
  <c r="M7" i="25"/>
  <c r="L8" i="25"/>
  <c r="L125" i="25"/>
  <c r="L65" i="25"/>
  <c r="L105" i="25"/>
  <c r="L145" i="25"/>
  <c r="M83" i="25"/>
  <c r="K101" i="25"/>
  <c r="M103" i="25"/>
  <c r="M143" i="25"/>
  <c r="M63" i="25"/>
  <c r="M41" i="25"/>
  <c r="M18" i="25"/>
  <c r="M123" i="25"/>
  <c r="K141" i="25"/>
  <c r="L42" i="25"/>
  <c r="M43" i="25"/>
  <c r="N4" i="25"/>
  <c r="M2" i="25"/>
  <c r="M3" i="25"/>
  <c r="L39" i="25" l="1"/>
  <c r="N22" i="25"/>
  <c r="N38" i="25" s="1"/>
  <c r="N21" i="25"/>
  <c r="N159" i="25"/>
  <c r="N158" i="25"/>
  <c r="N157" i="25"/>
  <c r="N156" i="25"/>
  <c r="N155" i="25"/>
  <c r="N154" i="25"/>
  <c r="N153" i="25"/>
  <c r="N151" i="25"/>
  <c r="N139" i="25"/>
  <c r="N138" i="25"/>
  <c r="N137" i="25"/>
  <c r="N136" i="25"/>
  <c r="N135" i="25"/>
  <c r="N129" i="25"/>
  <c r="N115" i="25"/>
  <c r="N113" i="25"/>
  <c r="N111" i="25"/>
  <c r="N108" i="25"/>
  <c r="N99" i="25"/>
  <c r="N98" i="25"/>
  <c r="N97" i="25"/>
  <c r="N96" i="25"/>
  <c r="N95" i="25"/>
  <c r="N94" i="25"/>
  <c r="N131" i="25"/>
  <c r="N118" i="25"/>
  <c r="N117" i="25"/>
  <c r="N133" i="25"/>
  <c r="N119" i="25"/>
  <c r="N116" i="25"/>
  <c r="N134" i="25"/>
  <c r="N128" i="25"/>
  <c r="N68" i="25"/>
  <c r="N57" i="25"/>
  <c r="N56" i="25"/>
  <c r="N55" i="25"/>
  <c r="N54" i="25"/>
  <c r="N53" i="25"/>
  <c r="N52" i="25"/>
  <c r="N51" i="25"/>
  <c r="N49" i="25"/>
  <c r="N67" i="25" s="1"/>
  <c r="N47" i="25"/>
  <c r="N34" i="25"/>
  <c r="N91" i="25"/>
  <c r="N88" i="25"/>
  <c r="N78" i="25"/>
  <c r="N76" i="25"/>
  <c r="N74" i="25"/>
  <c r="N71" i="25"/>
  <c r="N114" i="25"/>
  <c r="N93" i="25"/>
  <c r="N89" i="25"/>
  <c r="N79" i="25"/>
  <c r="N77" i="25"/>
  <c r="N75" i="25"/>
  <c r="N73" i="25"/>
  <c r="N46" i="25"/>
  <c r="N33" i="25"/>
  <c r="N32" i="25"/>
  <c r="N29" i="25"/>
  <c r="N28" i="25"/>
  <c r="N26" i="25"/>
  <c r="N23" i="25"/>
  <c r="N19" i="25"/>
  <c r="M150" i="25"/>
  <c r="M132" i="25"/>
  <c r="M130" i="25"/>
  <c r="M112" i="25"/>
  <c r="M70" i="25"/>
  <c r="M92" i="25"/>
  <c r="M90" i="25"/>
  <c r="M152" i="25"/>
  <c r="M50" i="25"/>
  <c r="M72" i="25"/>
  <c r="M48" i="25"/>
  <c r="M25" i="25"/>
  <c r="M110" i="25"/>
  <c r="M27" i="25"/>
  <c r="M37" i="25" s="1"/>
  <c r="M39" i="25" s="1"/>
  <c r="M20" i="25"/>
  <c r="M12" i="25"/>
  <c r="M13" i="25"/>
  <c r="N5" i="25"/>
  <c r="N11" i="25" s="1"/>
  <c r="L14" i="25"/>
  <c r="L15" i="25" s="1"/>
  <c r="M124" i="25"/>
  <c r="M104" i="25"/>
  <c r="M64" i="25"/>
  <c r="M144" i="25"/>
  <c r="M125" i="25"/>
  <c r="N7" i="25"/>
  <c r="M8" i="25"/>
  <c r="M105" i="25"/>
  <c r="M65" i="25"/>
  <c r="M145" i="25"/>
  <c r="N83" i="25"/>
  <c r="L101" i="25"/>
  <c r="M42" i="25"/>
  <c r="L141" i="25"/>
  <c r="N18" i="25"/>
  <c r="N123" i="25"/>
  <c r="N103" i="25"/>
  <c r="N63" i="25"/>
  <c r="N143" i="25"/>
  <c r="N41" i="25"/>
  <c r="N43" i="25"/>
  <c r="O4" i="25"/>
  <c r="N2" i="25"/>
  <c r="N3" i="25"/>
  <c r="O22" i="25" l="1"/>
  <c r="O21" i="25"/>
  <c r="O159" i="25"/>
  <c r="O158" i="25"/>
  <c r="O157" i="25"/>
  <c r="O156" i="25"/>
  <c r="O155" i="25"/>
  <c r="O154" i="25"/>
  <c r="O153" i="25"/>
  <c r="O151" i="25"/>
  <c r="O139" i="25"/>
  <c r="O138" i="25"/>
  <c r="O137" i="25"/>
  <c r="O136" i="25"/>
  <c r="O135" i="25"/>
  <c r="O134" i="25"/>
  <c r="O133" i="25"/>
  <c r="O131" i="25"/>
  <c r="O129" i="25"/>
  <c r="O128" i="25"/>
  <c r="O119" i="25"/>
  <c r="O118" i="25"/>
  <c r="O117" i="25"/>
  <c r="O116" i="25"/>
  <c r="O115" i="25"/>
  <c r="O114" i="25"/>
  <c r="O113" i="25"/>
  <c r="O111" i="25"/>
  <c r="O108" i="25"/>
  <c r="O99" i="25"/>
  <c r="O98" i="25"/>
  <c r="O97" i="25"/>
  <c r="O96" i="25"/>
  <c r="O95" i="25"/>
  <c r="O94" i="25"/>
  <c r="O93" i="25"/>
  <c r="O91" i="25"/>
  <c r="O89" i="25"/>
  <c r="O88" i="25"/>
  <c r="O79" i="25"/>
  <c r="O78" i="25"/>
  <c r="O77" i="25"/>
  <c r="O76" i="25"/>
  <c r="O75" i="25"/>
  <c r="O74" i="25"/>
  <c r="O73" i="25"/>
  <c r="O71" i="25"/>
  <c r="O68" i="25"/>
  <c r="O57" i="25"/>
  <c r="O56" i="25"/>
  <c r="O55" i="25"/>
  <c r="O54" i="25"/>
  <c r="O53" i="25"/>
  <c r="O52" i="25"/>
  <c r="O51" i="25"/>
  <c r="O49" i="25"/>
  <c r="O67" i="25" s="1"/>
  <c r="O34" i="25"/>
  <c r="O33" i="25"/>
  <c r="O46" i="25"/>
  <c r="O32" i="25"/>
  <c r="O29" i="25"/>
  <c r="O28" i="25"/>
  <c r="O26" i="25"/>
  <c r="O23" i="25"/>
  <c r="O47" i="25"/>
  <c r="O19" i="25"/>
  <c r="N110" i="25"/>
  <c r="N150" i="25"/>
  <c r="N132" i="25"/>
  <c r="N130" i="25"/>
  <c r="N112" i="25"/>
  <c r="N70" i="25"/>
  <c r="N92" i="25"/>
  <c r="N152" i="25"/>
  <c r="N90" i="25"/>
  <c r="N50" i="25"/>
  <c r="N48" i="25"/>
  <c r="N25" i="25"/>
  <c r="N72" i="25"/>
  <c r="N27" i="25"/>
  <c r="N37" i="25" s="1"/>
  <c r="N39" i="25" s="1"/>
  <c r="N20" i="25"/>
  <c r="N125" i="25"/>
  <c r="N13" i="25"/>
  <c r="N12" i="25"/>
  <c r="O5" i="25"/>
  <c r="O11" i="25" s="1"/>
  <c r="M14" i="25"/>
  <c r="M15" i="25" s="1"/>
  <c r="N144" i="25"/>
  <c r="N124" i="25"/>
  <c r="N104" i="25"/>
  <c r="N64" i="25"/>
  <c r="O7" i="25"/>
  <c r="N8" i="25"/>
  <c r="N105" i="25"/>
  <c r="N65" i="25"/>
  <c r="N145" i="25"/>
  <c r="M101" i="25"/>
  <c r="O83" i="25"/>
  <c r="O41" i="25"/>
  <c r="O18" i="25"/>
  <c r="O123" i="25"/>
  <c r="O103" i="25"/>
  <c r="O143" i="25"/>
  <c r="O63" i="25"/>
  <c r="M141" i="25"/>
  <c r="N42" i="25"/>
  <c r="O43" i="25"/>
  <c r="P4" i="25"/>
  <c r="O2" i="25"/>
  <c r="O3" i="25"/>
  <c r="O38" i="25" l="1"/>
  <c r="P22" i="25"/>
  <c r="P21" i="25"/>
  <c r="P157" i="25"/>
  <c r="P153" i="25"/>
  <c r="P139" i="25"/>
  <c r="P158" i="25"/>
  <c r="P154" i="25"/>
  <c r="P136" i="25"/>
  <c r="P135" i="25"/>
  <c r="P134" i="25"/>
  <c r="P133" i="25"/>
  <c r="P131" i="25"/>
  <c r="P129" i="25"/>
  <c r="P128" i="25"/>
  <c r="P119" i="25"/>
  <c r="P118" i="25"/>
  <c r="P117" i="25"/>
  <c r="P116" i="25"/>
  <c r="P159" i="25"/>
  <c r="P155" i="25"/>
  <c r="P156" i="25"/>
  <c r="P151" i="25"/>
  <c r="P138" i="25"/>
  <c r="P137" i="25"/>
  <c r="P113" i="25"/>
  <c r="P111" i="25"/>
  <c r="P108" i="25"/>
  <c r="P99" i="25"/>
  <c r="P98" i="25"/>
  <c r="P97" i="25"/>
  <c r="P96" i="25"/>
  <c r="P95" i="25"/>
  <c r="P94" i="25"/>
  <c r="P93" i="25"/>
  <c r="P115" i="25"/>
  <c r="P114" i="25"/>
  <c r="P91" i="25"/>
  <c r="P89" i="25"/>
  <c r="P88" i="25"/>
  <c r="P79" i="25"/>
  <c r="P78" i="25"/>
  <c r="P77" i="25"/>
  <c r="P76" i="25"/>
  <c r="P75" i="25"/>
  <c r="P74" i="25"/>
  <c r="P73" i="25"/>
  <c r="P71" i="25"/>
  <c r="P56" i="25"/>
  <c r="P52" i="25"/>
  <c r="P55" i="25"/>
  <c r="P32" i="25"/>
  <c r="P29" i="25"/>
  <c r="P28" i="25"/>
  <c r="P26" i="25"/>
  <c r="P23" i="25"/>
  <c r="P46" i="25"/>
  <c r="P51" i="25"/>
  <c r="P33" i="25"/>
  <c r="P57" i="25"/>
  <c r="P53" i="25"/>
  <c r="P47" i="25"/>
  <c r="P68" i="25"/>
  <c r="P54" i="25"/>
  <c r="P49" i="25"/>
  <c r="P67" i="25" s="1"/>
  <c r="P34" i="25"/>
  <c r="O150" i="25"/>
  <c r="O132" i="25"/>
  <c r="O130" i="25"/>
  <c r="O112" i="25"/>
  <c r="O70" i="25"/>
  <c r="O50" i="25"/>
  <c r="O92" i="25"/>
  <c r="O90" i="25"/>
  <c r="O152" i="25"/>
  <c r="O110" i="25"/>
  <c r="O48" i="25"/>
  <c r="O72" i="25"/>
  <c r="O27" i="25"/>
  <c r="O25" i="25"/>
  <c r="P19" i="25"/>
  <c r="O20" i="25"/>
  <c r="O12" i="25"/>
  <c r="N14" i="25"/>
  <c r="N15" i="25" s="1"/>
  <c r="O13" i="25"/>
  <c r="P5" i="25"/>
  <c r="P11" i="25" s="1"/>
  <c r="O64" i="25"/>
  <c r="O144" i="25"/>
  <c r="O124" i="25"/>
  <c r="O104" i="25"/>
  <c r="O8" i="25"/>
  <c r="P7" i="25"/>
  <c r="O65" i="25"/>
  <c r="O145" i="25"/>
  <c r="O125" i="25"/>
  <c r="O105" i="25"/>
  <c r="N101" i="25"/>
  <c r="P83" i="25"/>
  <c r="P63" i="25"/>
  <c r="P143" i="25"/>
  <c r="P41" i="25"/>
  <c r="P18" i="25"/>
  <c r="P103" i="25"/>
  <c r="P123" i="25"/>
  <c r="O42" i="25"/>
  <c r="N141" i="25"/>
  <c r="P43" i="25"/>
  <c r="Q4" i="25"/>
  <c r="P2" i="25"/>
  <c r="P3" i="25"/>
  <c r="P125" i="25" s="1"/>
  <c r="O37" i="25" l="1"/>
  <c r="O39" i="25" s="1"/>
  <c r="P38" i="25"/>
  <c r="Q22" i="25"/>
  <c r="Q38" i="25" s="1"/>
  <c r="Q21" i="25"/>
  <c r="Q159" i="25"/>
  <c r="Q158" i="25"/>
  <c r="Q157" i="25"/>
  <c r="Q156" i="25"/>
  <c r="Q155" i="25"/>
  <c r="Q154" i="25"/>
  <c r="Q153" i="25"/>
  <c r="Q151" i="25"/>
  <c r="Q139" i="25"/>
  <c r="Q138" i="25"/>
  <c r="Q137" i="25"/>
  <c r="Q136" i="25"/>
  <c r="Q135" i="25"/>
  <c r="Q134" i="25"/>
  <c r="Q133" i="25"/>
  <c r="Q131" i="25"/>
  <c r="Q129" i="25"/>
  <c r="Q128" i="25"/>
  <c r="Q119" i="25"/>
  <c r="Q118" i="25"/>
  <c r="Q117" i="25"/>
  <c r="Q116" i="25"/>
  <c r="Q115" i="25"/>
  <c r="Q114" i="25"/>
  <c r="Q113" i="25"/>
  <c r="Q111" i="25"/>
  <c r="Q108" i="25"/>
  <c r="Q99" i="25"/>
  <c r="Q98" i="25"/>
  <c r="Q97" i="25"/>
  <c r="Q96" i="25"/>
  <c r="Q95" i="25"/>
  <c r="Q94" i="25"/>
  <c r="Q93" i="25"/>
  <c r="Q91" i="25"/>
  <c r="Q88" i="25"/>
  <c r="Q78" i="25"/>
  <c r="Q76" i="25"/>
  <c r="Q74" i="25"/>
  <c r="Q71" i="25"/>
  <c r="Q89" i="25"/>
  <c r="Q79" i="25"/>
  <c r="Q77" i="25"/>
  <c r="Q75" i="25"/>
  <c r="Q73" i="25"/>
  <c r="Q68" i="25"/>
  <c r="Q57" i="25"/>
  <c r="Q56" i="25"/>
  <c r="Q55" i="25"/>
  <c r="Q54" i="25"/>
  <c r="Q53" i="25"/>
  <c r="Q52" i="25"/>
  <c r="Q51" i="25"/>
  <c r="Q49" i="25"/>
  <c r="Q67" i="25" s="1"/>
  <c r="Q47" i="25"/>
  <c r="Q34" i="25"/>
  <c r="Q33" i="25"/>
  <c r="Q32" i="25"/>
  <c r="Q29" i="25"/>
  <c r="Q28" i="25"/>
  <c r="Q26" i="25"/>
  <c r="Q23" i="25"/>
  <c r="Q46" i="25"/>
  <c r="Q19" i="25"/>
  <c r="P150" i="25"/>
  <c r="P132" i="25"/>
  <c r="P130" i="25"/>
  <c r="P112" i="25"/>
  <c r="P92" i="25"/>
  <c r="P90" i="25"/>
  <c r="P50" i="25"/>
  <c r="P152" i="25"/>
  <c r="P27" i="25"/>
  <c r="P72" i="25"/>
  <c r="P70" i="25"/>
  <c r="P48" i="25"/>
  <c r="P110" i="25"/>
  <c r="P25" i="25"/>
  <c r="P20" i="25"/>
  <c r="O14" i="25"/>
  <c r="O15" i="25" s="1"/>
  <c r="P12" i="25"/>
  <c r="P13" i="25"/>
  <c r="Q5" i="25"/>
  <c r="Q11" i="25" s="1"/>
  <c r="P124" i="25"/>
  <c r="P104" i="25"/>
  <c r="P64" i="25"/>
  <c r="P144" i="25"/>
  <c r="Q7" i="25"/>
  <c r="P8" i="25"/>
  <c r="P105" i="25"/>
  <c r="P65" i="25"/>
  <c r="P145" i="25"/>
  <c r="O101" i="25"/>
  <c r="Q83" i="25"/>
  <c r="Q103" i="25"/>
  <c r="Q63" i="25"/>
  <c r="Q143" i="25"/>
  <c r="Q41" i="25"/>
  <c r="Q123" i="25"/>
  <c r="Q18" i="25"/>
  <c r="O141" i="25"/>
  <c r="Q43" i="25"/>
  <c r="P42" i="25"/>
  <c r="Q3" i="25"/>
  <c r="Q20" i="25" s="1"/>
  <c r="R4" i="25"/>
  <c r="Q2" i="25"/>
  <c r="P37" i="25" l="1"/>
  <c r="P39" i="25" s="1"/>
  <c r="R22" i="25"/>
  <c r="R38" i="25" s="1"/>
  <c r="R21" i="25"/>
  <c r="R159" i="25"/>
  <c r="R158" i="25"/>
  <c r="R157" i="25"/>
  <c r="R156" i="25"/>
  <c r="R155" i="25"/>
  <c r="R154" i="25"/>
  <c r="R153" i="25"/>
  <c r="R151" i="25"/>
  <c r="R139" i="25"/>
  <c r="R138" i="25"/>
  <c r="R137" i="25"/>
  <c r="R136" i="25"/>
  <c r="R135" i="25"/>
  <c r="R134" i="25"/>
  <c r="R133" i="25"/>
  <c r="R131" i="25"/>
  <c r="R129" i="25"/>
  <c r="R128" i="25"/>
  <c r="R119" i="25"/>
  <c r="R118" i="25"/>
  <c r="R117" i="25"/>
  <c r="R116" i="25"/>
  <c r="R115" i="25"/>
  <c r="R114" i="25"/>
  <c r="R113" i="25"/>
  <c r="R99" i="25"/>
  <c r="R95" i="25"/>
  <c r="R108" i="25"/>
  <c r="R96" i="25"/>
  <c r="R91" i="25"/>
  <c r="R89" i="25"/>
  <c r="R88" i="25"/>
  <c r="R79" i="25"/>
  <c r="R78" i="25"/>
  <c r="R77" i="25"/>
  <c r="R76" i="25"/>
  <c r="R75" i="25"/>
  <c r="R74" i="25"/>
  <c r="R73" i="25"/>
  <c r="R71" i="25"/>
  <c r="R97" i="25"/>
  <c r="R93" i="25"/>
  <c r="R111" i="25"/>
  <c r="R94" i="25"/>
  <c r="R68" i="25"/>
  <c r="R57" i="25"/>
  <c r="R56" i="25"/>
  <c r="R55" i="25"/>
  <c r="R54" i="25"/>
  <c r="R53" i="25"/>
  <c r="R52" i="25"/>
  <c r="R51" i="25"/>
  <c r="R49" i="25"/>
  <c r="R67" i="25" s="1"/>
  <c r="R47" i="25"/>
  <c r="R34" i="25"/>
  <c r="R33" i="25"/>
  <c r="R98" i="25"/>
  <c r="R32" i="25"/>
  <c r="R29" i="25"/>
  <c r="R28" i="25"/>
  <c r="R26" i="25"/>
  <c r="R23" i="25"/>
  <c r="R46" i="25"/>
  <c r="Q150" i="25"/>
  <c r="Q132" i="25"/>
  <c r="Q130" i="25"/>
  <c r="Q112" i="25"/>
  <c r="Q70" i="25"/>
  <c r="Q92" i="25"/>
  <c r="Q90" i="25"/>
  <c r="Q152" i="25"/>
  <c r="Q72" i="25"/>
  <c r="Q25" i="25"/>
  <c r="Q50" i="25"/>
  <c r="Q27" i="25"/>
  <c r="Q37" i="25" s="1"/>
  <c r="Q39" i="25" s="1"/>
  <c r="Q48" i="25"/>
  <c r="Q110" i="25"/>
  <c r="R19" i="25"/>
  <c r="Q12" i="25"/>
  <c r="P14" i="25"/>
  <c r="P15" i="25" s="1"/>
  <c r="Q13" i="25"/>
  <c r="R5" i="25"/>
  <c r="R11" i="25" s="1"/>
  <c r="Q144" i="25"/>
  <c r="Q124" i="25"/>
  <c r="Q104" i="25"/>
  <c r="Q64" i="25"/>
  <c r="Q8" i="25"/>
  <c r="R7" i="25"/>
  <c r="Q125" i="25"/>
  <c r="Q65" i="25"/>
  <c r="Q105" i="25"/>
  <c r="Q145" i="25"/>
  <c r="P101" i="25"/>
  <c r="R83" i="25"/>
  <c r="R18" i="25"/>
  <c r="R123" i="25"/>
  <c r="R103" i="25"/>
  <c r="R63" i="25"/>
  <c r="R143" i="25"/>
  <c r="R41" i="25"/>
  <c r="P141" i="25"/>
  <c r="R43" i="25"/>
  <c r="Q42" i="25"/>
  <c r="S4" i="25"/>
  <c r="R2" i="25"/>
  <c r="R3" i="25"/>
  <c r="S22" i="25" l="1"/>
  <c r="S38" i="25" s="1"/>
  <c r="S21" i="25"/>
  <c r="S159" i="25"/>
  <c r="S158" i="25"/>
  <c r="S157" i="25"/>
  <c r="S156" i="25"/>
  <c r="S155" i="25"/>
  <c r="S154" i="25"/>
  <c r="S153" i="25"/>
  <c r="S151" i="25"/>
  <c r="S139" i="25"/>
  <c r="S138" i="25"/>
  <c r="S135" i="25"/>
  <c r="S134" i="25"/>
  <c r="S133" i="25"/>
  <c r="S131" i="25"/>
  <c r="S129" i="25"/>
  <c r="S128" i="25"/>
  <c r="S119" i="25"/>
  <c r="S118" i="25"/>
  <c r="S136" i="25"/>
  <c r="S137" i="25"/>
  <c r="S117" i="25"/>
  <c r="S114" i="25"/>
  <c r="S116" i="25"/>
  <c r="S113" i="25"/>
  <c r="S111" i="25"/>
  <c r="S108" i="25"/>
  <c r="S99" i="25"/>
  <c r="S98" i="25"/>
  <c r="S97" i="25"/>
  <c r="S96" i="25"/>
  <c r="S95" i="25"/>
  <c r="S94" i="25"/>
  <c r="S93" i="25"/>
  <c r="S115" i="25"/>
  <c r="S91" i="25"/>
  <c r="S89" i="25"/>
  <c r="S88" i="25"/>
  <c r="S79" i="25"/>
  <c r="S78" i="25"/>
  <c r="S77" i="25"/>
  <c r="S76" i="25"/>
  <c r="S75" i="25"/>
  <c r="S74" i="25"/>
  <c r="S73" i="25"/>
  <c r="S71" i="25"/>
  <c r="S68" i="25"/>
  <c r="S57" i="25"/>
  <c r="S56" i="25"/>
  <c r="S55" i="25"/>
  <c r="S54" i="25"/>
  <c r="S53" i="25"/>
  <c r="S52" i="25"/>
  <c r="S51" i="25"/>
  <c r="S49" i="25"/>
  <c r="S67" i="25" s="1"/>
  <c r="S47" i="25"/>
  <c r="S29" i="25"/>
  <c r="S23" i="25"/>
  <c r="S28" i="25"/>
  <c r="S26" i="25"/>
  <c r="S46" i="25"/>
  <c r="S34" i="25"/>
  <c r="S33" i="25"/>
  <c r="S32" i="25"/>
  <c r="S19" i="25"/>
  <c r="R92" i="25"/>
  <c r="R152" i="25"/>
  <c r="R110" i="25"/>
  <c r="R150" i="25"/>
  <c r="R132" i="25"/>
  <c r="R130" i="25"/>
  <c r="R112" i="25"/>
  <c r="R48" i="25"/>
  <c r="R72" i="25"/>
  <c r="R50" i="25"/>
  <c r="R90" i="25"/>
  <c r="R25" i="25"/>
  <c r="R70" i="25"/>
  <c r="R27" i="25"/>
  <c r="R37" i="25" s="1"/>
  <c r="R39" i="25" s="1"/>
  <c r="R20" i="25"/>
  <c r="Q14" i="25"/>
  <c r="Q15" i="25" s="1"/>
  <c r="R12" i="25"/>
  <c r="R13" i="25"/>
  <c r="S5" i="25"/>
  <c r="S11" i="25" s="1"/>
  <c r="R124" i="25"/>
  <c r="R104" i="25"/>
  <c r="R64" i="25"/>
  <c r="R144" i="25"/>
  <c r="S7" i="25"/>
  <c r="R8" i="25"/>
  <c r="R105" i="25"/>
  <c r="R125" i="25"/>
  <c r="R65" i="25"/>
  <c r="R145" i="25"/>
  <c r="S83" i="25"/>
  <c r="Q101" i="25"/>
  <c r="Q141" i="25"/>
  <c r="S41" i="25"/>
  <c r="S18" i="25"/>
  <c r="S123" i="25"/>
  <c r="S103" i="25"/>
  <c r="S63" i="25"/>
  <c r="S143" i="25"/>
  <c r="S43" i="25"/>
  <c r="R42" i="25"/>
  <c r="T4" i="25"/>
  <c r="S2" i="25"/>
  <c r="S3" i="25"/>
  <c r="S125" i="25" s="1"/>
  <c r="T22" i="25" l="1"/>
  <c r="T38" i="25" s="1"/>
  <c r="T21" i="25"/>
  <c r="T159" i="25"/>
  <c r="T158" i="25"/>
  <c r="T157" i="25"/>
  <c r="T156" i="25"/>
  <c r="T155" i="25"/>
  <c r="T154" i="25"/>
  <c r="T153" i="25"/>
  <c r="T151" i="25"/>
  <c r="T139" i="25"/>
  <c r="T138" i="25"/>
  <c r="T137" i="25"/>
  <c r="T136" i="25"/>
  <c r="T135" i="25"/>
  <c r="T134" i="25"/>
  <c r="T133" i="25"/>
  <c r="T131" i="25"/>
  <c r="T129" i="25"/>
  <c r="T128" i="25"/>
  <c r="T119" i="25"/>
  <c r="T118" i="25"/>
  <c r="T117" i="25"/>
  <c r="T114" i="25"/>
  <c r="T116" i="25"/>
  <c r="T113" i="25"/>
  <c r="T111" i="25"/>
  <c r="T108" i="25"/>
  <c r="T99" i="25"/>
  <c r="T98" i="25"/>
  <c r="T97" i="25"/>
  <c r="T96" i="25"/>
  <c r="T95" i="25"/>
  <c r="T94" i="25"/>
  <c r="T93" i="25"/>
  <c r="T91" i="25"/>
  <c r="T89" i="25"/>
  <c r="T88" i="25"/>
  <c r="T79" i="25"/>
  <c r="T78" i="25"/>
  <c r="T77" i="25"/>
  <c r="T76" i="25"/>
  <c r="T75" i="25"/>
  <c r="T74" i="25"/>
  <c r="T73" i="25"/>
  <c r="T71" i="25"/>
  <c r="T68" i="25"/>
  <c r="T57" i="25"/>
  <c r="T56" i="25"/>
  <c r="T52" i="25"/>
  <c r="T51" i="25"/>
  <c r="T49" i="25"/>
  <c r="T67" i="25" s="1"/>
  <c r="T115" i="25"/>
  <c r="T34" i="25"/>
  <c r="T33" i="25"/>
  <c r="T32" i="25"/>
  <c r="T29" i="25"/>
  <c r="T28" i="25"/>
  <c r="T26" i="25"/>
  <c r="T23" i="25"/>
  <c r="T46" i="25"/>
  <c r="T19" i="25"/>
  <c r="S92" i="25"/>
  <c r="S90" i="25"/>
  <c r="S152" i="25"/>
  <c r="S110" i="25"/>
  <c r="S132" i="25"/>
  <c r="S130" i="25"/>
  <c r="S112" i="25"/>
  <c r="S50" i="25"/>
  <c r="S27" i="25"/>
  <c r="S37" i="25" s="1"/>
  <c r="S39" i="25" s="1"/>
  <c r="S48" i="25"/>
  <c r="S72" i="25"/>
  <c r="S70" i="25"/>
  <c r="S20" i="25"/>
  <c r="S12" i="25"/>
  <c r="R14" i="25"/>
  <c r="R15" i="25" s="1"/>
  <c r="S16" i="25"/>
  <c r="S13" i="25"/>
  <c r="T5" i="25"/>
  <c r="T11" i="25" s="1"/>
  <c r="S144" i="25"/>
  <c r="S124" i="25"/>
  <c r="S104" i="25"/>
  <c r="S64" i="25"/>
  <c r="T7" i="25"/>
  <c r="S8" i="25"/>
  <c r="S105" i="25"/>
  <c r="S65" i="25"/>
  <c r="S145" i="25"/>
  <c r="R101" i="25"/>
  <c r="T83" i="25"/>
  <c r="T63" i="25"/>
  <c r="T143" i="25"/>
  <c r="T41" i="25"/>
  <c r="T18" i="25"/>
  <c r="T123" i="25"/>
  <c r="T103" i="25"/>
  <c r="R141" i="25"/>
  <c r="T43" i="25"/>
  <c r="S42" i="25"/>
  <c r="U4" i="25"/>
  <c r="T2" i="25"/>
  <c r="T3" i="25"/>
  <c r="U22" i="25" l="1"/>
  <c r="U38" i="25" s="1"/>
  <c r="U21" i="25"/>
  <c r="U159" i="25"/>
  <c r="U158" i="25"/>
  <c r="U157" i="25"/>
  <c r="U156" i="25"/>
  <c r="U155" i="25"/>
  <c r="U154" i="25"/>
  <c r="U153" i="25"/>
  <c r="U151" i="25"/>
  <c r="U139" i="25"/>
  <c r="U138" i="25"/>
  <c r="U137" i="25"/>
  <c r="U136" i="25"/>
  <c r="U135" i="25"/>
  <c r="U134" i="25"/>
  <c r="U133" i="25"/>
  <c r="U131" i="25"/>
  <c r="U129" i="25"/>
  <c r="U128" i="25"/>
  <c r="U119" i="25"/>
  <c r="U118" i="25"/>
  <c r="U117" i="25"/>
  <c r="U116" i="25"/>
  <c r="U114" i="25"/>
  <c r="U113" i="25"/>
  <c r="U111" i="25"/>
  <c r="U108" i="25"/>
  <c r="U99" i="25"/>
  <c r="U98" i="25"/>
  <c r="U97" i="25"/>
  <c r="U96" i="25"/>
  <c r="U95" i="25"/>
  <c r="U94" i="25"/>
  <c r="U93" i="25"/>
  <c r="U115" i="25"/>
  <c r="U91" i="25"/>
  <c r="U89" i="25"/>
  <c r="U88" i="25"/>
  <c r="U79" i="25"/>
  <c r="U78" i="25"/>
  <c r="U77" i="25"/>
  <c r="U76" i="25"/>
  <c r="U75" i="25"/>
  <c r="U74" i="25"/>
  <c r="U73" i="25"/>
  <c r="U68" i="25"/>
  <c r="U57" i="25"/>
  <c r="U56" i="25"/>
  <c r="U52" i="25"/>
  <c r="U51" i="25"/>
  <c r="U49" i="25"/>
  <c r="U67" i="25" s="1"/>
  <c r="U34" i="25"/>
  <c r="U33" i="25"/>
  <c r="U46" i="25"/>
  <c r="U71" i="25"/>
  <c r="U32" i="25"/>
  <c r="U29" i="25"/>
  <c r="U28" i="25"/>
  <c r="U26" i="25"/>
  <c r="U23" i="25"/>
  <c r="U19" i="25"/>
  <c r="T152" i="25"/>
  <c r="T110" i="25"/>
  <c r="T132" i="25"/>
  <c r="T130" i="25"/>
  <c r="T112" i="25"/>
  <c r="T92" i="25"/>
  <c r="T90" i="25"/>
  <c r="T70" i="25"/>
  <c r="T50" i="25"/>
  <c r="T48" i="25"/>
  <c r="T72" i="25"/>
  <c r="T27" i="25"/>
  <c r="T37" i="25" s="1"/>
  <c r="T20" i="25"/>
  <c r="S14" i="25"/>
  <c r="S15" i="25" s="1"/>
  <c r="T12" i="25"/>
  <c r="T16" i="25"/>
  <c r="U5" i="25"/>
  <c r="U11" i="25" s="1"/>
  <c r="T13" i="25"/>
  <c r="T64" i="25"/>
  <c r="T144" i="25"/>
  <c r="T124" i="25"/>
  <c r="T104" i="25"/>
  <c r="T145" i="25"/>
  <c r="T125" i="25"/>
  <c r="T105" i="25"/>
  <c r="T65" i="25"/>
  <c r="T8" i="25"/>
  <c r="U7" i="25"/>
  <c r="S101" i="25"/>
  <c r="U83" i="25"/>
  <c r="U103" i="25"/>
  <c r="U63" i="25"/>
  <c r="U143" i="25"/>
  <c r="U41" i="25"/>
  <c r="U123" i="25"/>
  <c r="U18" i="25"/>
  <c r="S141" i="25"/>
  <c r="U43" i="25"/>
  <c r="T42" i="25"/>
  <c r="V4" i="25"/>
  <c r="U2" i="25"/>
  <c r="U3" i="25"/>
  <c r="U8" i="25" s="1"/>
  <c r="T39" i="25" l="1"/>
  <c r="V22" i="25"/>
  <c r="V38" i="25" s="1"/>
  <c r="V21" i="25"/>
  <c r="V159" i="25"/>
  <c r="V158" i="25"/>
  <c r="V157" i="25"/>
  <c r="V156" i="25"/>
  <c r="V155" i="25"/>
  <c r="V154" i="25"/>
  <c r="V153" i="25"/>
  <c r="V151" i="25"/>
  <c r="V139" i="25"/>
  <c r="V138" i="25"/>
  <c r="V137" i="25"/>
  <c r="V136" i="25"/>
  <c r="V135" i="25"/>
  <c r="V129" i="25"/>
  <c r="V117" i="25"/>
  <c r="V114" i="25"/>
  <c r="V131" i="25"/>
  <c r="V118" i="25"/>
  <c r="V116" i="25"/>
  <c r="V113" i="25"/>
  <c r="V111" i="25"/>
  <c r="V108" i="25"/>
  <c r="V99" i="25"/>
  <c r="V98" i="25"/>
  <c r="V97" i="25"/>
  <c r="V96" i="25"/>
  <c r="V95" i="25"/>
  <c r="V94" i="25"/>
  <c r="V93" i="25"/>
  <c r="V133" i="25"/>
  <c r="V119" i="25"/>
  <c r="V115" i="25"/>
  <c r="V134" i="25"/>
  <c r="V128" i="25"/>
  <c r="V91" i="25"/>
  <c r="V88" i="25"/>
  <c r="V78" i="25"/>
  <c r="V76" i="25"/>
  <c r="V74" i="25"/>
  <c r="V68" i="25"/>
  <c r="V57" i="25"/>
  <c r="V56" i="25"/>
  <c r="V52" i="25"/>
  <c r="V51" i="25"/>
  <c r="V49" i="25"/>
  <c r="V67" i="25" s="1"/>
  <c r="V34" i="25"/>
  <c r="V33" i="25"/>
  <c r="V89" i="25"/>
  <c r="V79" i="25"/>
  <c r="V77" i="25"/>
  <c r="V75" i="25"/>
  <c r="V73" i="25"/>
  <c r="V71" i="25"/>
  <c r="V46" i="25"/>
  <c r="V32" i="25"/>
  <c r="V29" i="25"/>
  <c r="V28" i="25"/>
  <c r="V26" i="25"/>
  <c r="V23" i="25"/>
  <c r="U72" i="25"/>
  <c r="U132" i="25"/>
  <c r="U130" i="25"/>
  <c r="U112" i="25"/>
  <c r="U92" i="25"/>
  <c r="U90" i="25"/>
  <c r="U70" i="25"/>
  <c r="U152" i="25"/>
  <c r="U48" i="25"/>
  <c r="U50" i="25"/>
  <c r="U27" i="25"/>
  <c r="U37" i="25" s="1"/>
  <c r="U39" i="25" s="1"/>
  <c r="U110" i="25"/>
  <c r="U20" i="25"/>
  <c r="V19" i="25"/>
  <c r="T14" i="25"/>
  <c r="T15" i="25" s="1"/>
  <c r="U16" i="25"/>
  <c r="U13" i="25"/>
  <c r="U12" i="25"/>
  <c r="V5" i="25"/>
  <c r="V11" i="25" s="1"/>
  <c r="U104" i="25"/>
  <c r="U64" i="25"/>
  <c r="U144" i="25"/>
  <c r="U124" i="25"/>
  <c r="U125" i="25"/>
  <c r="U105" i="25"/>
  <c r="U65" i="25"/>
  <c r="U145" i="25"/>
  <c r="V7" i="25"/>
  <c r="T101" i="25"/>
  <c r="V83" i="25"/>
  <c r="T141" i="25"/>
  <c r="V18" i="25"/>
  <c r="V123" i="25"/>
  <c r="V103" i="25"/>
  <c r="V63" i="25"/>
  <c r="V41" i="25"/>
  <c r="V143" i="25"/>
  <c r="V43" i="25"/>
  <c r="U42" i="25"/>
  <c r="W4" i="25"/>
  <c r="V2" i="25"/>
  <c r="V3" i="25"/>
  <c r="V20" i="25" s="1"/>
  <c r="W22" i="25" l="1"/>
  <c r="W21" i="25"/>
  <c r="W159" i="25"/>
  <c r="W158" i="25"/>
  <c r="W157" i="25"/>
  <c r="W156" i="25"/>
  <c r="W155" i="25"/>
  <c r="W154" i="25"/>
  <c r="W153" i="25"/>
  <c r="W151" i="25"/>
  <c r="W139" i="25"/>
  <c r="W138" i="25"/>
  <c r="W137" i="25"/>
  <c r="W136" i="25"/>
  <c r="W135" i="25"/>
  <c r="W134" i="25"/>
  <c r="W133" i="25"/>
  <c r="W131" i="25"/>
  <c r="W129" i="25"/>
  <c r="W128" i="25"/>
  <c r="W119" i="25"/>
  <c r="W118" i="25"/>
  <c r="W117" i="25"/>
  <c r="W116" i="25"/>
  <c r="W115" i="25"/>
  <c r="W114" i="25"/>
  <c r="W113" i="25"/>
  <c r="W111" i="25"/>
  <c r="W108" i="25"/>
  <c r="W99" i="25"/>
  <c r="W98" i="25"/>
  <c r="W97" i="25"/>
  <c r="W96" i="25"/>
  <c r="W95" i="25"/>
  <c r="W94" i="25"/>
  <c r="W93" i="25"/>
  <c r="W91" i="25"/>
  <c r="W89" i="25"/>
  <c r="W88" i="25"/>
  <c r="W79" i="25"/>
  <c r="W78" i="25"/>
  <c r="W77" i="25"/>
  <c r="W76" i="25"/>
  <c r="W75" i="25"/>
  <c r="W74" i="25"/>
  <c r="W73" i="25"/>
  <c r="W71" i="25"/>
  <c r="W68" i="25"/>
  <c r="W57" i="25"/>
  <c r="W56" i="25"/>
  <c r="W52" i="25"/>
  <c r="W51" i="25"/>
  <c r="W49" i="25"/>
  <c r="W67" i="25" s="1"/>
  <c r="W46" i="25"/>
  <c r="W32" i="25"/>
  <c r="W29" i="25"/>
  <c r="W28" i="25"/>
  <c r="W26" i="25"/>
  <c r="W23" i="25"/>
  <c r="W34" i="25"/>
  <c r="W33" i="25"/>
  <c r="V72" i="25"/>
  <c r="V132" i="25"/>
  <c r="V130" i="25"/>
  <c r="V112" i="25"/>
  <c r="V110" i="25"/>
  <c r="V92" i="25"/>
  <c r="V152" i="25"/>
  <c r="V150" i="25"/>
  <c r="V50" i="25"/>
  <c r="V25" i="25"/>
  <c r="V90" i="25"/>
  <c r="V48" i="25"/>
  <c r="V70" i="25"/>
  <c r="V27" i="25"/>
  <c r="V37" i="25" s="1"/>
  <c r="W19" i="25"/>
  <c r="U14" i="25"/>
  <c r="U15" i="25" s="1"/>
  <c r="V12" i="25"/>
  <c r="W5" i="25"/>
  <c r="W11" i="25" s="1"/>
  <c r="V13" i="25"/>
  <c r="V64" i="25"/>
  <c r="V104" i="25"/>
  <c r="V144" i="25"/>
  <c r="V124" i="25"/>
  <c r="V145" i="25"/>
  <c r="V125" i="25"/>
  <c r="V105" i="25"/>
  <c r="V65" i="25"/>
  <c r="W7" i="25"/>
  <c r="V8" i="25"/>
  <c r="W83" i="25"/>
  <c r="U101" i="25"/>
  <c r="W41" i="25"/>
  <c r="W18" i="25"/>
  <c r="W123" i="25"/>
  <c r="W103" i="25"/>
  <c r="W143" i="25"/>
  <c r="W63" i="25"/>
  <c r="U141" i="25"/>
  <c r="V42" i="25"/>
  <c r="W43" i="25"/>
  <c r="X4" i="25"/>
  <c r="W2" i="25"/>
  <c r="W3" i="25"/>
  <c r="V39" i="25" l="1"/>
  <c r="W38" i="25"/>
  <c r="X22" i="25"/>
  <c r="X21" i="25"/>
  <c r="X157" i="25"/>
  <c r="X153" i="25"/>
  <c r="X139" i="25"/>
  <c r="X136" i="25"/>
  <c r="X158" i="25"/>
  <c r="X154" i="25"/>
  <c r="X159" i="25"/>
  <c r="X155" i="25"/>
  <c r="X135" i="25"/>
  <c r="X134" i="25"/>
  <c r="X133" i="25"/>
  <c r="X131" i="25"/>
  <c r="X129" i="25"/>
  <c r="X128" i="25"/>
  <c r="X119" i="25"/>
  <c r="X118" i="25"/>
  <c r="X117" i="25"/>
  <c r="X116" i="25"/>
  <c r="X137" i="25"/>
  <c r="X113" i="25"/>
  <c r="X111" i="25"/>
  <c r="X108" i="25"/>
  <c r="X99" i="25"/>
  <c r="X98" i="25"/>
  <c r="X97" i="25"/>
  <c r="X96" i="25"/>
  <c r="X95" i="25"/>
  <c r="X94" i="25"/>
  <c r="X93" i="25"/>
  <c r="X138" i="25"/>
  <c r="X156" i="25"/>
  <c r="X115" i="25"/>
  <c r="X114" i="25"/>
  <c r="X151" i="25"/>
  <c r="X91" i="25"/>
  <c r="X89" i="25"/>
  <c r="X88" i="25"/>
  <c r="X79" i="25"/>
  <c r="X78" i="25"/>
  <c r="X77" i="25"/>
  <c r="X76" i="25"/>
  <c r="X75" i="25"/>
  <c r="X74" i="25"/>
  <c r="X73" i="25"/>
  <c r="X71" i="25"/>
  <c r="X56" i="25"/>
  <c r="X52" i="25"/>
  <c r="X57" i="25"/>
  <c r="X32" i="25"/>
  <c r="X29" i="25"/>
  <c r="X28" i="25"/>
  <c r="X26" i="25"/>
  <c r="X23" i="25"/>
  <c r="X46" i="25"/>
  <c r="X34" i="25"/>
  <c r="X33" i="25"/>
  <c r="X68" i="25"/>
  <c r="X49" i="25"/>
  <c r="X67" i="25" s="1"/>
  <c r="X51" i="25"/>
  <c r="W132" i="25"/>
  <c r="W130" i="25"/>
  <c r="W112" i="25"/>
  <c r="W110" i="25"/>
  <c r="W50" i="25"/>
  <c r="W92" i="25"/>
  <c r="W90" i="25"/>
  <c r="W70" i="25"/>
  <c r="W152" i="25"/>
  <c r="W150" i="25"/>
  <c r="W48" i="25"/>
  <c r="W72" i="25"/>
  <c r="W27" i="25"/>
  <c r="W25" i="25"/>
  <c r="W20" i="25"/>
  <c r="X19" i="25"/>
  <c r="V14" i="25"/>
  <c r="V15" i="25" s="1"/>
  <c r="W12" i="25"/>
  <c r="W13" i="25"/>
  <c r="X5" i="25"/>
  <c r="X11" i="25" s="1"/>
  <c r="W64" i="25"/>
  <c r="W144" i="25"/>
  <c r="W124" i="25"/>
  <c r="W104" i="25"/>
  <c r="W125" i="25"/>
  <c r="W105" i="25"/>
  <c r="W65" i="25"/>
  <c r="W145" i="25"/>
  <c r="W8" i="25"/>
  <c r="X7" i="25"/>
  <c r="V101" i="25"/>
  <c r="X83" i="25"/>
  <c r="X63" i="25"/>
  <c r="X143" i="25"/>
  <c r="X41" i="25"/>
  <c r="X18" i="25"/>
  <c r="X103" i="25"/>
  <c r="X123" i="25"/>
  <c r="V141" i="25"/>
  <c r="W42" i="25"/>
  <c r="X43" i="25"/>
  <c r="Y4" i="25"/>
  <c r="X2" i="25"/>
  <c r="X3" i="25"/>
  <c r="X145" i="25" s="1"/>
  <c r="X38" i="25" l="1"/>
  <c r="W37" i="25"/>
  <c r="Y22" i="25"/>
  <c r="Y38" i="25" s="1"/>
  <c r="Y21" i="25"/>
  <c r="Y159" i="25"/>
  <c r="Y158" i="25"/>
  <c r="Y157" i="25"/>
  <c r="Y156" i="25"/>
  <c r="Y155" i="25"/>
  <c r="Y154" i="25"/>
  <c r="Y153" i="25"/>
  <c r="Y151" i="25"/>
  <c r="Y139" i="25"/>
  <c r="Y138" i="25"/>
  <c r="Y137" i="25"/>
  <c r="Y136" i="25"/>
  <c r="Y135" i="25"/>
  <c r="Y134" i="25"/>
  <c r="Y133" i="25"/>
  <c r="Y131" i="25"/>
  <c r="Y129" i="25"/>
  <c r="Y128" i="25"/>
  <c r="Y119" i="25"/>
  <c r="Y118" i="25"/>
  <c r="Y117" i="25"/>
  <c r="Y116" i="25"/>
  <c r="Y115" i="25"/>
  <c r="Y113" i="25"/>
  <c r="Y111" i="25"/>
  <c r="Y108" i="25"/>
  <c r="Y99" i="25"/>
  <c r="Y98" i="25"/>
  <c r="Y97" i="25"/>
  <c r="Y96" i="25"/>
  <c r="Y95" i="25"/>
  <c r="Y94" i="25"/>
  <c r="Y93" i="25"/>
  <c r="Y114" i="25"/>
  <c r="Y89" i="25"/>
  <c r="Y79" i="25"/>
  <c r="Y77" i="25"/>
  <c r="Y75" i="25"/>
  <c r="Y73" i="25"/>
  <c r="Y71" i="25"/>
  <c r="Y68" i="25"/>
  <c r="Y57" i="25"/>
  <c r="Y56" i="25"/>
  <c r="Y52" i="25"/>
  <c r="Y51" i="25"/>
  <c r="Y49" i="25"/>
  <c r="Y67" i="25" s="1"/>
  <c r="Y34" i="25"/>
  <c r="Y33" i="25"/>
  <c r="Y74" i="25"/>
  <c r="Y32" i="25"/>
  <c r="Y29" i="25"/>
  <c r="Y28" i="25"/>
  <c r="Y26" i="25"/>
  <c r="Y23" i="25"/>
  <c r="Y78" i="25"/>
  <c r="Y46" i="25"/>
  <c r="Y91" i="25"/>
  <c r="Y76" i="25"/>
  <c r="Y88" i="25"/>
  <c r="X132" i="25"/>
  <c r="X130" i="25"/>
  <c r="X112" i="25"/>
  <c r="X92" i="25"/>
  <c r="X90" i="25"/>
  <c r="X70" i="25"/>
  <c r="X50" i="25"/>
  <c r="X152" i="25"/>
  <c r="X150" i="25"/>
  <c r="X27" i="25"/>
  <c r="X48" i="25"/>
  <c r="X25" i="25"/>
  <c r="X72" i="25"/>
  <c r="X110" i="25"/>
  <c r="X20" i="25"/>
  <c r="Y19" i="25"/>
  <c r="W14" i="25"/>
  <c r="W15" i="25" s="1"/>
  <c r="X12" i="25"/>
  <c r="Y5" i="25"/>
  <c r="Y11" i="25" s="1"/>
  <c r="X13" i="25"/>
  <c r="X64" i="25"/>
  <c r="X144" i="25"/>
  <c r="X124" i="25"/>
  <c r="X104" i="25"/>
  <c r="X125" i="25"/>
  <c r="X105" i="25"/>
  <c r="X65" i="25"/>
  <c r="X8" i="25"/>
  <c r="Y7" i="25"/>
  <c r="Y64" i="25"/>
  <c r="Y104" i="25"/>
  <c r="Y124" i="25"/>
  <c r="Y144" i="25"/>
  <c r="W101" i="25"/>
  <c r="Y83" i="25"/>
  <c r="W141" i="25"/>
  <c r="Y103" i="25"/>
  <c r="Y63" i="25"/>
  <c r="Y143" i="25"/>
  <c r="Y41" i="25"/>
  <c r="Y18" i="25"/>
  <c r="Y123" i="25"/>
  <c r="X42" i="25"/>
  <c r="Y43" i="25"/>
  <c r="Z4" i="25"/>
  <c r="Y2" i="25"/>
  <c r="Y3" i="25"/>
  <c r="X37" i="25" l="1"/>
  <c r="X39" i="25" s="1"/>
  <c r="W39" i="25"/>
  <c r="Z22" i="25"/>
  <c r="Z38" i="25" s="1"/>
  <c r="Z21" i="25"/>
  <c r="Z159" i="25"/>
  <c r="Z158" i="25"/>
  <c r="Z157" i="25"/>
  <c r="Z156" i="25"/>
  <c r="Z155" i="25"/>
  <c r="Z154" i="25"/>
  <c r="Z153" i="25"/>
  <c r="Z151" i="25"/>
  <c r="Z139" i="25"/>
  <c r="Z138" i="25"/>
  <c r="Z137" i="25"/>
  <c r="Z136" i="25"/>
  <c r="Z135" i="25"/>
  <c r="Z134" i="25"/>
  <c r="Z133" i="25"/>
  <c r="Z131" i="25"/>
  <c r="Z129" i="25"/>
  <c r="Z128" i="25"/>
  <c r="Z119" i="25"/>
  <c r="Z118" i="25"/>
  <c r="Z117" i="25"/>
  <c r="Z116" i="25"/>
  <c r="Z115" i="25"/>
  <c r="Z114" i="25"/>
  <c r="Z113" i="25"/>
  <c r="Z99" i="25"/>
  <c r="Z95" i="25"/>
  <c r="Z108" i="25"/>
  <c r="Z96" i="25"/>
  <c r="Z91" i="25"/>
  <c r="Z89" i="25"/>
  <c r="Z88" i="25"/>
  <c r="Z79" i="25"/>
  <c r="Z78" i="25"/>
  <c r="Z77" i="25"/>
  <c r="Z76" i="25"/>
  <c r="Z75" i="25"/>
  <c r="Z74" i="25"/>
  <c r="Z73" i="25"/>
  <c r="Z71" i="25"/>
  <c r="Z111" i="25"/>
  <c r="Z98" i="25"/>
  <c r="Z94" i="25"/>
  <c r="Z93" i="25"/>
  <c r="Z68" i="25"/>
  <c r="Z57" i="25"/>
  <c r="Z56" i="25"/>
  <c r="Z52" i="25"/>
  <c r="Z51" i="25"/>
  <c r="Z49" i="25"/>
  <c r="Z67" i="25" s="1"/>
  <c r="Z34" i="25"/>
  <c r="Z33" i="25"/>
  <c r="Z32" i="25"/>
  <c r="Z29" i="25"/>
  <c r="Z28" i="25"/>
  <c r="Z26" i="25"/>
  <c r="Z23" i="25"/>
  <c r="Z97" i="25"/>
  <c r="Z46" i="25"/>
  <c r="Y132" i="25"/>
  <c r="Y130" i="25"/>
  <c r="Y112" i="25"/>
  <c r="Y92" i="25"/>
  <c r="Y90" i="25"/>
  <c r="Y70" i="25"/>
  <c r="Y152" i="25"/>
  <c r="Y150" i="25"/>
  <c r="Y72" i="25"/>
  <c r="Y27" i="25"/>
  <c r="Y37" i="25" s="1"/>
  <c r="Y39" i="25" s="1"/>
  <c r="Y25" i="25"/>
  <c r="Y50" i="25"/>
  <c r="Y48" i="25"/>
  <c r="Y110" i="25"/>
  <c r="Y20" i="25"/>
  <c r="Z19" i="25"/>
  <c r="X14" i="25"/>
  <c r="X15" i="25" s="1"/>
  <c r="Y12" i="25"/>
  <c r="Y13" i="25"/>
  <c r="Z5" i="25"/>
  <c r="Z11" i="25" s="1"/>
  <c r="Y145" i="25"/>
  <c r="Y125" i="25"/>
  <c r="Y105" i="25"/>
  <c r="Y65" i="25"/>
  <c r="Y8" i="25"/>
  <c r="Z7" i="25"/>
  <c r="Z64" i="25"/>
  <c r="Z104" i="25"/>
  <c r="Z124" i="25"/>
  <c r="Z144" i="25"/>
  <c r="Z83" i="25"/>
  <c r="X101" i="25"/>
  <c r="Z18" i="25"/>
  <c r="Z123" i="25"/>
  <c r="Z103" i="25"/>
  <c r="Z63" i="25"/>
  <c r="Z41" i="25"/>
  <c r="Z143" i="25"/>
  <c r="X141" i="25"/>
  <c r="Y42" i="25"/>
  <c r="Z43" i="25"/>
  <c r="AA4" i="25"/>
  <c r="Z2" i="25"/>
  <c r="Z3" i="25"/>
  <c r="AA22" i="25" l="1"/>
  <c r="AA38" i="25" s="1"/>
  <c r="AA21" i="25"/>
  <c r="AA159" i="25"/>
  <c r="AA158" i="25"/>
  <c r="AA157" i="25"/>
  <c r="AA156" i="25"/>
  <c r="AA155" i="25"/>
  <c r="AA154" i="25"/>
  <c r="AA153" i="25"/>
  <c r="AA151" i="25"/>
  <c r="AA139" i="25"/>
  <c r="AA138" i="25"/>
  <c r="AA136" i="25"/>
  <c r="AA135" i="25"/>
  <c r="AA134" i="25"/>
  <c r="AA133" i="25"/>
  <c r="AA131" i="25"/>
  <c r="AA129" i="25"/>
  <c r="AA128" i="25"/>
  <c r="AA119" i="25"/>
  <c r="AA118" i="25"/>
  <c r="AA137" i="25"/>
  <c r="AA116" i="25"/>
  <c r="AA115" i="25"/>
  <c r="AA114" i="25"/>
  <c r="AA113" i="25"/>
  <c r="AA111" i="25"/>
  <c r="AA108" i="25"/>
  <c r="AA99" i="25"/>
  <c r="AA98" i="25"/>
  <c r="AA97" i="25"/>
  <c r="AA96" i="25"/>
  <c r="AA95" i="25"/>
  <c r="AA94" i="25"/>
  <c r="AA93" i="25"/>
  <c r="AA117" i="25"/>
  <c r="AA91" i="25"/>
  <c r="AA89" i="25"/>
  <c r="AA88" i="25"/>
  <c r="AA79" i="25"/>
  <c r="AA78" i="25"/>
  <c r="AA77" i="25"/>
  <c r="AA76" i="25"/>
  <c r="AA75" i="25"/>
  <c r="AA74" i="25"/>
  <c r="AA73" i="25"/>
  <c r="AA71" i="25"/>
  <c r="AA68" i="25"/>
  <c r="AA57" i="25"/>
  <c r="AA56" i="25"/>
  <c r="AA52" i="25"/>
  <c r="AA51" i="25"/>
  <c r="AA49" i="25"/>
  <c r="AA67" i="25" s="1"/>
  <c r="AA34" i="25"/>
  <c r="AA33" i="25"/>
  <c r="AA29" i="25"/>
  <c r="AA28" i="25"/>
  <c r="AA32" i="25"/>
  <c r="AA23" i="25"/>
  <c r="AA46" i="25"/>
  <c r="AA26" i="25"/>
  <c r="Z110" i="25"/>
  <c r="Z92" i="25"/>
  <c r="Z152" i="25"/>
  <c r="Z150" i="25"/>
  <c r="Z132" i="25"/>
  <c r="Z130" i="25"/>
  <c r="Z112" i="25"/>
  <c r="Z50" i="25"/>
  <c r="Z48" i="25"/>
  <c r="Z72" i="25"/>
  <c r="Z90" i="25"/>
  <c r="Z25" i="25"/>
  <c r="Z70" i="25"/>
  <c r="Z27" i="25"/>
  <c r="Z37" i="25" s="1"/>
  <c r="Z39" i="25" s="1"/>
  <c r="Z20" i="25"/>
  <c r="AA19" i="25"/>
  <c r="Y14" i="25"/>
  <c r="Y15" i="25" s="1"/>
  <c r="Z12" i="25"/>
  <c r="Z13" i="25"/>
  <c r="AA5" i="25"/>
  <c r="AA11" i="25" s="1"/>
  <c r="Z125" i="25"/>
  <c r="Z105" i="25"/>
  <c r="Z65" i="25"/>
  <c r="Z145" i="25"/>
  <c r="AA7" i="25"/>
  <c r="Z8" i="25"/>
  <c r="AA64" i="25"/>
  <c r="AA104" i="25"/>
  <c r="AA124" i="25"/>
  <c r="AA144" i="25"/>
  <c r="AA83" i="25"/>
  <c r="Y101" i="25"/>
  <c r="AA41" i="25"/>
  <c r="AA18" i="25"/>
  <c r="AA123" i="25"/>
  <c r="AA103" i="25"/>
  <c r="AA143" i="25"/>
  <c r="AA63" i="25"/>
  <c r="Y141" i="25"/>
  <c r="Z42" i="25"/>
  <c r="AA43" i="25"/>
  <c r="AB4" i="25"/>
  <c r="AA2" i="25"/>
  <c r="AA3" i="25"/>
  <c r="AB22" i="25" l="1"/>
  <c r="AB38" i="25" s="1"/>
  <c r="AB21" i="25"/>
  <c r="AB159" i="25"/>
  <c r="AB158" i="25"/>
  <c r="AB157" i="25"/>
  <c r="AB156" i="25"/>
  <c r="AB155" i="25"/>
  <c r="AB154" i="25"/>
  <c r="AB153" i="25"/>
  <c r="AB151" i="25"/>
  <c r="AB139" i="25"/>
  <c r="AB138" i="25"/>
  <c r="AB137" i="25"/>
  <c r="AB136" i="25"/>
  <c r="AB135" i="25"/>
  <c r="AB134" i="25"/>
  <c r="AB133" i="25"/>
  <c r="AB131" i="25"/>
  <c r="AB129" i="25"/>
  <c r="AB128" i="25"/>
  <c r="AB119" i="25"/>
  <c r="AB118" i="25"/>
  <c r="AB116" i="25"/>
  <c r="AB115" i="25"/>
  <c r="AB114" i="25"/>
  <c r="AB113" i="25"/>
  <c r="AB111" i="25"/>
  <c r="AB108" i="25"/>
  <c r="AB99" i="25"/>
  <c r="AB98" i="25"/>
  <c r="AB97" i="25"/>
  <c r="AB96" i="25"/>
  <c r="AB95" i="25"/>
  <c r="AB94" i="25"/>
  <c r="AB93" i="25"/>
  <c r="AB117" i="25"/>
  <c r="AB91" i="25"/>
  <c r="AB89" i="25"/>
  <c r="AB88" i="25"/>
  <c r="AB79" i="25"/>
  <c r="AB78" i="25"/>
  <c r="AB77" i="25"/>
  <c r="AB76" i="25"/>
  <c r="AB75" i="25"/>
  <c r="AB74" i="25"/>
  <c r="AB73" i="25"/>
  <c r="AB68" i="25"/>
  <c r="AB57" i="25"/>
  <c r="AB56" i="25"/>
  <c r="AB52" i="25"/>
  <c r="AB51" i="25"/>
  <c r="AB49" i="25"/>
  <c r="AB67" i="25" s="1"/>
  <c r="AB71" i="25"/>
  <c r="AB34" i="25"/>
  <c r="AB33" i="25"/>
  <c r="AB32" i="25"/>
  <c r="AB29" i="25"/>
  <c r="AB28" i="25"/>
  <c r="AB26" i="25"/>
  <c r="AB23" i="25"/>
  <c r="AB46" i="25"/>
  <c r="AA20" i="25"/>
  <c r="AB19" i="25"/>
  <c r="AB20" i="25"/>
  <c r="AA110" i="25"/>
  <c r="AA92" i="25"/>
  <c r="AA90" i="25"/>
  <c r="AA152" i="25"/>
  <c r="AA150" i="25"/>
  <c r="AA132" i="25"/>
  <c r="AA130" i="25"/>
  <c r="AA112" i="25"/>
  <c r="AA50" i="25"/>
  <c r="AA48" i="25"/>
  <c r="AA25" i="25"/>
  <c r="AA27" i="25"/>
  <c r="AA37" i="25" s="1"/>
  <c r="AA39" i="25" s="1"/>
  <c r="AA70" i="25"/>
  <c r="AA72" i="25"/>
  <c r="Z14" i="25"/>
  <c r="Z15" i="25" s="1"/>
  <c r="AA13" i="25"/>
  <c r="AA12" i="25"/>
  <c r="AB5" i="25"/>
  <c r="AB11" i="25" s="1"/>
  <c r="AA65" i="25"/>
  <c r="AA105" i="25"/>
  <c r="AA145" i="25"/>
  <c r="AA125" i="25"/>
  <c r="AB7" i="25"/>
  <c r="AA8" i="25"/>
  <c r="AB64" i="25"/>
  <c r="AB104" i="25"/>
  <c r="AB124" i="25"/>
  <c r="AB144" i="25"/>
  <c r="AB83" i="25"/>
  <c r="Z101" i="25"/>
  <c r="AB63" i="25"/>
  <c r="AB143" i="25"/>
  <c r="AB41" i="25"/>
  <c r="AB18" i="25"/>
  <c r="AB123" i="25"/>
  <c r="AB103" i="25"/>
  <c r="Z141" i="25"/>
  <c r="AA42" i="25"/>
  <c r="AB43" i="25"/>
  <c r="AC4" i="25"/>
  <c r="AB2" i="25"/>
  <c r="AB3" i="25"/>
  <c r="AC22" i="25" l="1"/>
  <c r="AC38" i="25" s="1"/>
  <c r="AC21" i="25"/>
  <c r="AC159" i="25"/>
  <c r="AC158" i="25"/>
  <c r="AC157" i="25"/>
  <c r="AC156" i="25"/>
  <c r="AC155" i="25"/>
  <c r="AC154" i="25"/>
  <c r="AC153" i="25"/>
  <c r="AC151" i="25"/>
  <c r="AC139" i="25"/>
  <c r="AC138" i="25"/>
  <c r="AC137" i="25"/>
  <c r="AC136" i="25"/>
  <c r="AC135" i="25"/>
  <c r="AC134" i="25"/>
  <c r="AC133" i="25"/>
  <c r="AC131" i="25"/>
  <c r="AC129" i="25"/>
  <c r="AC128" i="25"/>
  <c r="AC119" i="25"/>
  <c r="AC118" i="25"/>
  <c r="AC117" i="25"/>
  <c r="AC116" i="25"/>
  <c r="AC114" i="25"/>
  <c r="AC113" i="25"/>
  <c r="AC111" i="25"/>
  <c r="AC108" i="25"/>
  <c r="AC99" i="25"/>
  <c r="AC98" i="25"/>
  <c r="AC97" i="25"/>
  <c r="AC96" i="25"/>
  <c r="AC95" i="25"/>
  <c r="AC94" i="25"/>
  <c r="AC93" i="25"/>
  <c r="AC115" i="25"/>
  <c r="AC91" i="25"/>
  <c r="AC89" i="25"/>
  <c r="AC88" i="25"/>
  <c r="AC79" i="25"/>
  <c r="AC78" i="25"/>
  <c r="AC77" i="25"/>
  <c r="AC76" i="25"/>
  <c r="AC75" i="25"/>
  <c r="AC74" i="25"/>
  <c r="AC73" i="25"/>
  <c r="AC68" i="25"/>
  <c r="AC57" i="25"/>
  <c r="AC56" i="25"/>
  <c r="AC52" i="25"/>
  <c r="AC51" i="25"/>
  <c r="AC49" i="25"/>
  <c r="AC67" i="25" s="1"/>
  <c r="AC34" i="25"/>
  <c r="AC33" i="25"/>
  <c r="AC71" i="25"/>
  <c r="AC46" i="25"/>
  <c r="AC32" i="25"/>
  <c r="AC29" i="25"/>
  <c r="AC28" i="25"/>
  <c r="AC26" i="25"/>
  <c r="AC23" i="25"/>
  <c r="AB152" i="25"/>
  <c r="AB150" i="25"/>
  <c r="AB132" i="25"/>
  <c r="AB130" i="25"/>
  <c r="AB112" i="25"/>
  <c r="AB92" i="25"/>
  <c r="AB90" i="25"/>
  <c r="AB72" i="25"/>
  <c r="AB50" i="25"/>
  <c r="AB25" i="25"/>
  <c r="AB48" i="25"/>
  <c r="AB70" i="25"/>
  <c r="AB27" i="25"/>
  <c r="AB37" i="25" s="1"/>
  <c r="AB39" i="25" s="1"/>
  <c r="AB110" i="25"/>
  <c r="AC19" i="25"/>
  <c r="AC20" i="25"/>
  <c r="AB12" i="25"/>
  <c r="AA14" i="25"/>
  <c r="AA15" i="25" s="1"/>
  <c r="AB13" i="25"/>
  <c r="AC5" i="25"/>
  <c r="AC11" i="25" s="1"/>
  <c r="AB65" i="25"/>
  <c r="AB105" i="25"/>
  <c r="AB145" i="25"/>
  <c r="AB125" i="25"/>
  <c r="AC7" i="25"/>
  <c r="AB8" i="25"/>
  <c r="AC64" i="25"/>
  <c r="AC104" i="25"/>
  <c r="AC124" i="25"/>
  <c r="AC144" i="25"/>
  <c r="AC83" i="25"/>
  <c r="AA101" i="25"/>
  <c r="AC103" i="25"/>
  <c r="AC63" i="25"/>
  <c r="AC143" i="25"/>
  <c r="AC41" i="25"/>
  <c r="AC18" i="25"/>
  <c r="AC123" i="25"/>
  <c r="AA141" i="25"/>
  <c r="AB42" i="25"/>
  <c r="AC43" i="25"/>
  <c r="AD4" i="25"/>
  <c r="AC2" i="25"/>
  <c r="AC3" i="25"/>
  <c r="AD22" i="25" l="1"/>
  <c r="AD38" i="25" s="1"/>
  <c r="AD21" i="25"/>
  <c r="AD159" i="25"/>
  <c r="AD158" i="25"/>
  <c r="AD157" i="25"/>
  <c r="AD156" i="25"/>
  <c r="AD155" i="25"/>
  <c r="AD154" i="25"/>
  <c r="AD153" i="25"/>
  <c r="AD151" i="25"/>
  <c r="AD139" i="25"/>
  <c r="AD138" i="25"/>
  <c r="AD137" i="25"/>
  <c r="AD136" i="25"/>
  <c r="AD131" i="25"/>
  <c r="AD118" i="25"/>
  <c r="AD114" i="25"/>
  <c r="AD113" i="25"/>
  <c r="AD111" i="25"/>
  <c r="AD108" i="25"/>
  <c r="AD99" i="25"/>
  <c r="AD98" i="25"/>
  <c r="AD97" i="25"/>
  <c r="AD96" i="25"/>
  <c r="AD95" i="25"/>
  <c r="AD94" i="25"/>
  <c r="AD93" i="25"/>
  <c r="AD133" i="25"/>
  <c r="AD119" i="25"/>
  <c r="AD134" i="25"/>
  <c r="AD128" i="25"/>
  <c r="AD117" i="25"/>
  <c r="AD135" i="25"/>
  <c r="AD129" i="25"/>
  <c r="AD116" i="25"/>
  <c r="AD115" i="25"/>
  <c r="AD68" i="25"/>
  <c r="AD57" i="25"/>
  <c r="AD56" i="25"/>
  <c r="AD52" i="25"/>
  <c r="AD51" i="25"/>
  <c r="AD49" i="25"/>
  <c r="AD67" i="25" s="1"/>
  <c r="AD34" i="25"/>
  <c r="AD33" i="25"/>
  <c r="AD89" i="25"/>
  <c r="AD79" i="25"/>
  <c r="AD77" i="25"/>
  <c r="AD75" i="25"/>
  <c r="AD73" i="25"/>
  <c r="AD71" i="25"/>
  <c r="AD91" i="25"/>
  <c r="AD88" i="25"/>
  <c r="AD78" i="25"/>
  <c r="AD76" i="25"/>
  <c r="AD74" i="25"/>
  <c r="AD46" i="25"/>
  <c r="AD32" i="25"/>
  <c r="AD29" i="25"/>
  <c r="AD28" i="25"/>
  <c r="AD26" i="25"/>
  <c r="AD23" i="25"/>
  <c r="AC70" i="25"/>
  <c r="AC132" i="25"/>
  <c r="AC130" i="25"/>
  <c r="AC112" i="25"/>
  <c r="AC92" i="25"/>
  <c r="AC90" i="25"/>
  <c r="AC152" i="25"/>
  <c r="AC150" i="25"/>
  <c r="AC50" i="25"/>
  <c r="AC48" i="25"/>
  <c r="AC25" i="25"/>
  <c r="AC27" i="25"/>
  <c r="AC37" i="25" s="1"/>
  <c r="AC39" i="25" s="1"/>
  <c r="AC110" i="25"/>
  <c r="AC72" i="25"/>
  <c r="AD19" i="25"/>
  <c r="AD20" i="25"/>
  <c r="AB14" i="25"/>
  <c r="AB15" i="25" s="1"/>
  <c r="AC12" i="25"/>
  <c r="AC13" i="25"/>
  <c r="AD5" i="25"/>
  <c r="AD11" i="25" s="1"/>
  <c r="AC125" i="25"/>
  <c r="AC105" i="25"/>
  <c r="AC65" i="25"/>
  <c r="AC145" i="25"/>
  <c r="AD7" i="25"/>
  <c r="AC8" i="25"/>
  <c r="AD64" i="25"/>
  <c r="AD104" i="25"/>
  <c r="AD124" i="25"/>
  <c r="AD144" i="25"/>
  <c r="AB101" i="25"/>
  <c r="AD83" i="25"/>
  <c r="AB141" i="25"/>
  <c r="AD18" i="25"/>
  <c r="AD123" i="25"/>
  <c r="AD103" i="25"/>
  <c r="AD63" i="25"/>
  <c r="AD143" i="25"/>
  <c r="AD41" i="25"/>
  <c r="AC42" i="25"/>
  <c r="AD43" i="25"/>
  <c r="AE4" i="25"/>
  <c r="AD2" i="25"/>
  <c r="AD3" i="25"/>
  <c r="AE22" i="25" l="1"/>
  <c r="AE21" i="25"/>
  <c r="AE159" i="25"/>
  <c r="AE158" i="25"/>
  <c r="AE157" i="25"/>
  <c r="AE156" i="25"/>
  <c r="AE155" i="25"/>
  <c r="AE154" i="25"/>
  <c r="AE153" i="25"/>
  <c r="AE151" i="25"/>
  <c r="AE139" i="25"/>
  <c r="AE138" i="25"/>
  <c r="AE137" i="25"/>
  <c r="AE136" i="25"/>
  <c r="AE135" i="25"/>
  <c r="AE134" i="25"/>
  <c r="AE133" i="25"/>
  <c r="AE131" i="25"/>
  <c r="AE129" i="25"/>
  <c r="AE128" i="25"/>
  <c r="AE119" i="25"/>
  <c r="AE118" i="25"/>
  <c r="AE117" i="25"/>
  <c r="AE116" i="25"/>
  <c r="AE115" i="25"/>
  <c r="AE114" i="25"/>
  <c r="AE113" i="25"/>
  <c r="AE111" i="25"/>
  <c r="AE108" i="25"/>
  <c r="AE99" i="25"/>
  <c r="AE98" i="25"/>
  <c r="AE97" i="25"/>
  <c r="AE96" i="25"/>
  <c r="AE95" i="25"/>
  <c r="AE94" i="25"/>
  <c r="AE93" i="25"/>
  <c r="AE91" i="25"/>
  <c r="AE89" i="25"/>
  <c r="AE88" i="25"/>
  <c r="AE79" i="25"/>
  <c r="AE78" i="25"/>
  <c r="AE77" i="25"/>
  <c r="AE76" i="25"/>
  <c r="AE75" i="25"/>
  <c r="AE74" i="25"/>
  <c r="AE73" i="25"/>
  <c r="AE71" i="25"/>
  <c r="AE68" i="25"/>
  <c r="AE57" i="25"/>
  <c r="AE56" i="25"/>
  <c r="AE52" i="25"/>
  <c r="AE51" i="25"/>
  <c r="AE49" i="25"/>
  <c r="AE67" i="25" s="1"/>
  <c r="AE34" i="25"/>
  <c r="AE33" i="25"/>
  <c r="AE46" i="25"/>
  <c r="AE32" i="25"/>
  <c r="AE29" i="25"/>
  <c r="AE28" i="25"/>
  <c r="AE26" i="25"/>
  <c r="AE23" i="25"/>
  <c r="AD132" i="25"/>
  <c r="AD130" i="25"/>
  <c r="AD112" i="25"/>
  <c r="AD92" i="25"/>
  <c r="AD152" i="25"/>
  <c r="AD150" i="25"/>
  <c r="AD72" i="25"/>
  <c r="AD110" i="25"/>
  <c r="AD70" i="25"/>
  <c r="AD25" i="25"/>
  <c r="AD90" i="25"/>
  <c r="AD50" i="25"/>
  <c r="AD48" i="25"/>
  <c r="AD27" i="25"/>
  <c r="AD37" i="25" s="1"/>
  <c r="AD39" i="25" s="1"/>
  <c r="AE19" i="25"/>
  <c r="AE20" i="25"/>
  <c r="AD12" i="25"/>
  <c r="AE5" i="25"/>
  <c r="AE11" i="25" s="1"/>
  <c r="AD13" i="25"/>
  <c r="AC14" i="25"/>
  <c r="AC15" i="25" s="1"/>
  <c r="AD65" i="25"/>
  <c r="AD105" i="25"/>
  <c r="AD145" i="25"/>
  <c r="AD125" i="25"/>
  <c r="AE7" i="25"/>
  <c r="AD8" i="25"/>
  <c r="AE64" i="25"/>
  <c r="AE104" i="25"/>
  <c r="AE124" i="25"/>
  <c r="AE144" i="25"/>
  <c r="AC101" i="25"/>
  <c r="AE83" i="25"/>
  <c r="AE41" i="25"/>
  <c r="AE18" i="25"/>
  <c r="AE123" i="25"/>
  <c r="AE103" i="25"/>
  <c r="AE63" i="25"/>
  <c r="AE143" i="25"/>
  <c r="AC141" i="25"/>
  <c r="AD42" i="25"/>
  <c r="AE43" i="25"/>
  <c r="AF4" i="25"/>
  <c r="AE2" i="25"/>
  <c r="AE3" i="25"/>
  <c r="AE38" i="25" l="1"/>
  <c r="AF22" i="25"/>
  <c r="AF21" i="25"/>
  <c r="AF158" i="25"/>
  <c r="AF154" i="25"/>
  <c r="AF159" i="25"/>
  <c r="AF155" i="25"/>
  <c r="AF137" i="25"/>
  <c r="AF135" i="25"/>
  <c r="AF134" i="25"/>
  <c r="AF133" i="25"/>
  <c r="AF131" i="25"/>
  <c r="AF129" i="25"/>
  <c r="AF128" i="25"/>
  <c r="AF119" i="25"/>
  <c r="AF118" i="25"/>
  <c r="AF117" i="25"/>
  <c r="AF116" i="25"/>
  <c r="AF156" i="25"/>
  <c r="AF151" i="25"/>
  <c r="AF138" i="25"/>
  <c r="AF157" i="25"/>
  <c r="AF153" i="25"/>
  <c r="AF139" i="25"/>
  <c r="AF136" i="25"/>
  <c r="AF113" i="25"/>
  <c r="AF111" i="25"/>
  <c r="AF108" i="25"/>
  <c r="AF99" i="25"/>
  <c r="AF98" i="25"/>
  <c r="AF97" i="25"/>
  <c r="AF96" i="25"/>
  <c r="AF95" i="25"/>
  <c r="AF94" i="25"/>
  <c r="AF93" i="25"/>
  <c r="AF114" i="25"/>
  <c r="AF115" i="25"/>
  <c r="AF91" i="25"/>
  <c r="AF89" i="25"/>
  <c r="AF88" i="25"/>
  <c r="AF79" i="25"/>
  <c r="AF78" i="25"/>
  <c r="AF77" i="25"/>
  <c r="AF76" i="25"/>
  <c r="AF75" i="25"/>
  <c r="AF74" i="25"/>
  <c r="AF73" i="25"/>
  <c r="AF71" i="25"/>
  <c r="AF34" i="25"/>
  <c r="AF57" i="25"/>
  <c r="AF53" i="25"/>
  <c r="AF47" i="25"/>
  <c r="AF52" i="25"/>
  <c r="AF33" i="25"/>
  <c r="AF32" i="25"/>
  <c r="AF29" i="25"/>
  <c r="AF28" i="25"/>
  <c r="AF26" i="25"/>
  <c r="AF23" i="25"/>
  <c r="AF46" i="25"/>
  <c r="AF56" i="25"/>
  <c r="AF68" i="25"/>
  <c r="AF54" i="25"/>
  <c r="AF49" i="25"/>
  <c r="AF67" i="25" s="1"/>
  <c r="AF55" i="25"/>
  <c r="AF51" i="25"/>
  <c r="AE132" i="25"/>
  <c r="AE130" i="25"/>
  <c r="AE112" i="25"/>
  <c r="AE92" i="25"/>
  <c r="AE90" i="25"/>
  <c r="AE152" i="25"/>
  <c r="AE150" i="25"/>
  <c r="AE110" i="25"/>
  <c r="AE70" i="25"/>
  <c r="AE48" i="25"/>
  <c r="AE50" i="25"/>
  <c r="AE27" i="25"/>
  <c r="AE25" i="25"/>
  <c r="AE72" i="25"/>
  <c r="AF19" i="25"/>
  <c r="AF20" i="25"/>
  <c r="AE12" i="25"/>
  <c r="AD14" i="25"/>
  <c r="AD15" i="25" s="1"/>
  <c r="AE13" i="25"/>
  <c r="AF5" i="25"/>
  <c r="AF11" i="25" s="1"/>
  <c r="AE125" i="25"/>
  <c r="AE105" i="25"/>
  <c r="AE65" i="25"/>
  <c r="AE145" i="25"/>
  <c r="AE8" i="25"/>
  <c r="AF7" i="25"/>
  <c r="AF64" i="25"/>
  <c r="AF104" i="25"/>
  <c r="AF124" i="25"/>
  <c r="AF144" i="25"/>
  <c r="AF83" i="25"/>
  <c r="AD101" i="25"/>
  <c r="AF63" i="25"/>
  <c r="AF143" i="25"/>
  <c r="AF41" i="25"/>
  <c r="AF18" i="25"/>
  <c r="AF103" i="25"/>
  <c r="AF123" i="25"/>
  <c r="AD141" i="25"/>
  <c r="AF43" i="25"/>
  <c r="AE42" i="25"/>
  <c r="AG4" i="25"/>
  <c r="AF2" i="25"/>
  <c r="AF3" i="25"/>
  <c r="AE37" i="25" l="1"/>
  <c r="AE39" i="25" s="1"/>
  <c r="AF38" i="25"/>
  <c r="AG22" i="25"/>
  <c r="AG38" i="25" s="1"/>
  <c r="AG21" i="25"/>
  <c r="AG159" i="25"/>
  <c r="AG158" i="25"/>
  <c r="AG157" i="25"/>
  <c r="AG156" i="25"/>
  <c r="AG155" i="25"/>
  <c r="AG154" i="25"/>
  <c r="AG153" i="25"/>
  <c r="AG151" i="25"/>
  <c r="AG139" i="25"/>
  <c r="AG138" i="25"/>
  <c r="AG137" i="25"/>
  <c r="AG136" i="25"/>
  <c r="AG135" i="25"/>
  <c r="AG134" i="25"/>
  <c r="AG133" i="25"/>
  <c r="AG131" i="25"/>
  <c r="AG129" i="25"/>
  <c r="AG128" i="25"/>
  <c r="AG119" i="25"/>
  <c r="AG118" i="25"/>
  <c r="AG117" i="25"/>
  <c r="AG116" i="25"/>
  <c r="AG114" i="25"/>
  <c r="AG115" i="25"/>
  <c r="AG113" i="25"/>
  <c r="AG111" i="25"/>
  <c r="AG108" i="25"/>
  <c r="AG99" i="25"/>
  <c r="AG98" i="25"/>
  <c r="AG97" i="25"/>
  <c r="AG96" i="25"/>
  <c r="AG95" i="25"/>
  <c r="AG94" i="25"/>
  <c r="AG93" i="25"/>
  <c r="AG89" i="25"/>
  <c r="AG79" i="25"/>
  <c r="AG77" i="25"/>
  <c r="AG75" i="25"/>
  <c r="AG73" i="25"/>
  <c r="AG71" i="25"/>
  <c r="AG91" i="25"/>
  <c r="AG88" i="25"/>
  <c r="AG78" i="25"/>
  <c r="AG76" i="25"/>
  <c r="AG74" i="25"/>
  <c r="AG68" i="25"/>
  <c r="AG57" i="25"/>
  <c r="AG56" i="25"/>
  <c r="AG55" i="25"/>
  <c r="AG54" i="25"/>
  <c r="AG53" i="25"/>
  <c r="AG52" i="25"/>
  <c r="AG51" i="25"/>
  <c r="AG49" i="25"/>
  <c r="AG67" i="25" s="1"/>
  <c r="AG47" i="25"/>
  <c r="AG34" i="25"/>
  <c r="AG33" i="25"/>
  <c r="AG32" i="25"/>
  <c r="AG29" i="25"/>
  <c r="AG28" i="25"/>
  <c r="AG26" i="25"/>
  <c r="AG23" i="25"/>
  <c r="AG46" i="25"/>
  <c r="AF132" i="25"/>
  <c r="AF130" i="25"/>
  <c r="AF112" i="25"/>
  <c r="AF92" i="25"/>
  <c r="AF90" i="25"/>
  <c r="AF50" i="25"/>
  <c r="AF152" i="25"/>
  <c r="AF150" i="25"/>
  <c r="AF72" i="25"/>
  <c r="AF48" i="25"/>
  <c r="AF70" i="25"/>
  <c r="AF27" i="25"/>
  <c r="AF25" i="25"/>
  <c r="AF110" i="25"/>
  <c r="AG19" i="25"/>
  <c r="AG20" i="25"/>
  <c r="AE14" i="25"/>
  <c r="AE15" i="25" s="1"/>
  <c r="AF13" i="25"/>
  <c r="AF12" i="25"/>
  <c r="AG5" i="25"/>
  <c r="AG11" i="25" s="1"/>
  <c r="AF105" i="25"/>
  <c r="AF65" i="25"/>
  <c r="AF145" i="25"/>
  <c r="AF125" i="25"/>
  <c r="AF8" i="25"/>
  <c r="AG7" i="25"/>
  <c r="AG64" i="25"/>
  <c r="AG104" i="25"/>
  <c r="AG124" i="25"/>
  <c r="AG144" i="25"/>
  <c r="AG83" i="25"/>
  <c r="AE101" i="25"/>
  <c r="AE141" i="25"/>
  <c r="AG103" i="25"/>
  <c r="AG63" i="25"/>
  <c r="AG143" i="25"/>
  <c r="AG41" i="25"/>
  <c r="AG123" i="25"/>
  <c r="AG18" i="25"/>
  <c r="AG43" i="25"/>
  <c r="AF42" i="25"/>
  <c r="AH4" i="25"/>
  <c r="AG2" i="25"/>
  <c r="AG3" i="25"/>
  <c r="AF37" i="25" l="1"/>
  <c r="AF39" i="25" s="1"/>
  <c r="AH22" i="25"/>
  <c r="AH38" i="25" s="1"/>
  <c r="AH21" i="25"/>
  <c r="AH159" i="25"/>
  <c r="AH158" i="25"/>
  <c r="AH157" i="25"/>
  <c r="AH156" i="25"/>
  <c r="AH155" i="25"/>
  <c r="AH154" i="25"/>
  <c r="AH153" i="25"/>
  <c r="AH151" i="25"/>
  <c r="AH139" i="25"/>
  <c r="AH138" i="25"/>
  <c r="AH137" i="25"/>
  <c r="AH136" i="25"/>
  <c r="AH135" i="25"/>
  <c r="AH134" i="25"/>
  <c r="AH133" i="25"/>
  <c r="AH131" i="25"/>
  <c r="AH129" i="25"/>
  <c r="AH128" i="25"/>
  <c r="AH119" i="25"/>
  <c r="AH118" i="25"/>
  <c r="AH117" i="25"/>
  <c r="AH116" i="25"/>
  <c r="AH115" i="25"/>
  <c r="AH114" i="25"/>
  <c r="AH108" i="25"/>
  <c r="AH96" i="25"/>
  <c r="AH97" i="25"/>
  <c r="AH93" i="25"/>
  <c r="AH91" i="25"/>
  <c r="AH89" i="25"/>
  <c r="AH88" i="25"/>
  <c r="AH79" i="25"/>
  <c r="AH78" i="25"/>
  <c r="AH77" i="25"/>
  <c r="AH76" i="25"/>
  <c r="AH75" i="25"/>
  <c r="AH74" i="25"/>
  <c r="AH73" i="25"/>
  <c r="AH71" i="25"/>
  <c r="AH111" i="25"/>
  <c r="AH98" i="25"/>
  <c r="AH94" i="25"/>
  <c r="AH95" i="25"/>
  <c r="AH99" i="25"/>
  <c r="AH68" i="25"/>
  <c r="AH57" i="25"/>
  <c r="AH56" i="25"/>
  <c r="AH55" i="25"/>
  <c r="AH54" i="25"/>
  <c r="AH53" i="25"/>
  <c r="AH52" i="25"/>
  <c r="AH51" i="25"/>
  <c r="AH49" i="25"/>
  <c r="AH67" i="25" s="1"/>
  <c r="AH47" i="25"/>
  <c r="AH34" i="25"/>
  <c r="AH33" i="25"/>
  <c r="AH113" i="25"/>
  <c r="AH32" i="25"/>
  <c r="AH29" i="25"/>
  <c r="AH28" i="25"/>
  <c r="AH26" i="25"/>
  <c r="AH23" i="25"/>
  <c r="AH46" i="25"/>
  <c r="AH19" i="25"/>
  <c r="AH20" i="25"/>
  <c r="AG132" i="25"/>
  <c r="AG130" i="25"/>
  <c r="AG112" i="25"/>
  <c r="AG92" i="25"/>
  <c r="AG90" i="25"/>
  <c r="AG152" i="25"/>
  <c r="AG150" i="25"/>
  <c r="AG70" i="25"/>
  <c r="AG27" i="25"/>
  <c r="AG37" i="25" s="1"/>
  <c r="AG39" i="25" s="1"/>
  <c r="AG25" i="25"/>
  <c r="AG50" i="25"/>
  <c r="AG72" i="25"/>
  <c r="AG48" i="25"/>
  <c r="AG110" i="25"/>
  <c r="AG13" i="25"/>
  <c r="AH5" i="25"/>
  <c r="AH11" i="25" s="1"/>
  <c r="AG12" i="25"/>
  <c r="AF14" i="25"/>
  <c r="AF15" i="25" s="1"/>
  <c r="AG105" i="25"/>
  <c r="AG65" i="25"/>
  <c r="AG145" i="25"/>
  <c r="AG125" i="25"/>
  <c r="AH7" i="25"/>
  <c r="AG8" i="25"/>
  <c r="AH64" i="25"/>
  <c r="AH104" i="25"/>
  <c r="AH124" i="25"/>
  <c r="AH144" i="25"/>
  <c r="AF101" i="25"/>
  <c r="AH83" i="25"/>
  <c r="AF59" i="25"/>
  <c r="AF141" i="25"/>
  <c r="AH18" i="25"/>
  <c r="AH123" i="25"/>
  <c r="AH103" i="25"/>
  <c r="AH63" i="25"/>
  <c r="AH143" i="25"/>
  <c r="AH41" i="25"/>
  <c r="AH43" i="25"/>
  <c r="AG42" i="25"/>
  <c r="AI4" i="25"/>
  <c r="AH2" i="25"/>
  <c r="AH3" i="25"/>
  <c r="AI22" i="25" l="1"/>
  <c r="AI38" i="25" s="1"/>
  <c r="AI21" i="25"/>
  <c r="AI159" i="25"/>
  <c r="AI158" i="25"/>
  <c r="AI157" i="25"/>
  <c r="AI156" i="25"/>
  <c r="AI155" i="25"/>
  <c r="AI154" i="25"/>
  <c r="AI153" i="25"/>
  <c r="AI151" i="25"/>
  <c r="AI139" i="25"/>
  <c r="AI138" i="25"/>
  <c r="AI137" i="25"/>
  <c r="AI135" i="25"/>
  <c r="AI134" i="25"/>
  <c r="AI133" i="25"/>
  <c r="AI131" i="25"/>
  <c r="AI129" i="25"/>
  <c r="AI128" i="25"/>
  <c r="AI119" i="25"/>
  <c r="AI118" i="25"/>
  <c r="AI136" i="25"/>
  <c r="AI115" i="25"/>
  <c r="AI117" i="25"/>
  <c r="AI113" i="25"/>
  <c r="AI111" i="25"/>
  <c r="AI108" i="25"/>
  <c r="AI99" i="25"/>
  <c r="AI98" i="25"/>
  <c r="AI97" i="25"/>
  <c r="AI96" i="25"/>
  <c r="AI95" i="25"/>
  <c r="AI94" i="25"/>
  <c r="AI93" i="25"/>
  <c r="AI114" i="25"/>
  <c r="AI91" i="25"/>
  <c r="AI89" i="25"/>
  <c r="AI88" i="25"/>
  <c r="AI79" i="25"/>
  <c r="AI78" i="25"/>
  <c r="AI77" i="25"/>
  <c r="AI76" i="25"/>
  <c r="AI75" i="25"/>
  <c r="AI74" i="25"/>
  <c r="AI73" i="25"/>
  <c r="AI71" i="25"/>
  <c r="AI116" i="25"/>
  <c r="AI68" i="25"/>
  <c r="AI57" i="25"/>
  <c r="AI56" i="25"/>
  <c r="AI55" i="25"/>
  <c r="AI54" i="25"/>
  <c r="AI53" i="25"/>
  <c r="AI52" i="25"/>
  <c r="AI51" i="25"/>
  <c r="AI49" i="25"/>
  <c r="AI67" i="25" s="1"/>
  <c r="AI47" i="25"/>
  <c r="AI26" i="25"/>
  <c r="AI29" i="25"/>
  <c r="AI46" i="25"/>
  <c r="AI32" i="25"/>
  <c r="AI23" i="25"/>
  <c r="AI34" i="25"/>
  <c r="AI33" i="25"/>
  <c r="AI28" i="25"/>
  <c r="AH92" i="25"/>
  <c r="AH152" i="25"/>
  <c r="AH150" i="25"/>
  <c r="AH110" i="25"/>
  <c r="AH132" i="25"/>
  <c r="AH130" i="25"/>
  <c r="AH112" i="25"/>
  <c r="AH48" i="25"/>
  <c r="AH90" i="25"/>
  <c r="AH50" i="25"/>
  <c r="AH25" i="25"/>
  <c r="AH72" i="25"/>
  <c r="AH27" i="25"/>
  <c r="AH37" i="25" s="1"/>
  <c r="AH39" i="25" s="1"/>
  <c r="AH70" i="25"/>
  <c r="AI19" i="25"/>
  <c r="AI20" i="25"/>
  <c r="AH12" i="25"/>
  <c r="AH13" i="25"/>
  <c r="AI5" i="25"/>
  <c r="AI11" i="25" s="1"/>
  <c r="AG14" i="25"/>
  <c r="AG15" i="25" s="1"/>
  <c r="AH125" i="25"/>
  <c r="AH105" i="25"/>
  <c r="AH65" i="25"/>
  <c r="AH145" i="25"/>
  <c r="AH8" i="25"/>
  <c r="AI7" i="25"/>
  <c r="AI64" i="25"/>
  <c r="AI104" i="25"/>
  <c r="AI124" i="25"/>
  <c r="AI144" i="25"/>
  <c r="AI83" i="25"/>
  <c r="AG101" i="25"/>
  <c r="AG59" i="25"/>
  <c r="AG141" i="25"/>
  <c r="AI41" i="25"/>
  <c r="AI18" i="25"/>
  <c r="AI123" i="25"/>
  <c r="AI63" i="25"/>
  <c r="AI143" i="25"/>
  <c r="AI103" i="25"/>
  <c r="AH42" i="25"/>
  <c r="AI43" i="25"/>
  <c r="AJ4" i="25"/>
  <c r="AI2" i="25"/>
  <c r="AI3" i="25"/>
  <c r="AJ22" i="25" l="1"/>
  <c r="AJ38" i="25" s="1"/>
  <c r="AJ21" i="25"/>
  <c r="AJ159" i="25"/>
  <c r="AJ158" i="25"/>
  <c r="AJ157" i="25"/>
  <c r="AJ156" i="25"/>
  <c r="AJ155" i="25"/>
  <c r="AJ154" i="25"/>
  <c r="AJ153" i="25"/>
  <c r="AJ151" i="25"/>
  <c r="AJ139" i="25"/>
  <c r="AJ138" i="25"/>
  <c r="AJ137" i="25"/>
  <c r="AJ136" i="25"/>
  <c r="AJ135" i="25"/>
  <c r="AJ134" i="25"/>
  <c r="AJ133" i="25"/>
  <c r="AJ131" i="25"/>
  <c r="AJ129" i="25"/>
  <c r="AJ128" i="25"/>
  <c r="AJ119" i="25"/>
  <c r="AJ118" i="25"/>
  <c r="AJ115" i="25"/>
  <c r="AJ117" i="25"/>
  <c r="AJ113" i="25"/>
  <c r="AJ111" i="25"/>
  <c r="AJ108" i="25"/>
  <c r="AJ99" i="25"/>
  <c r="AJ98" i="25"/>
  <c r="AJ97" i="25"/>
  <c r="AJ96" i="25"/>
  <c r="AJ95" i="25"/>
  <c r="AJ94" i="25"/>
  <c r="AJ93" i="25"/>
  <c r="AJ116" i="25"/>
  <c r="AJ91" i="25"/>
  <c r="AJ89" i="25"/>
  <c r="AJ88" i="25"/>
  <c r="AJ79" i="25"/>
  <c r="AJ78" i="25"/>
  <c r="AJ77" i="25"/>
  <c r="AJ76" i="25"/>
  <c r="AJ75" i="25"/>
  <c r="AJ74" i="25"/>
  <c r="AJ73" i="25"/>
  <c r="AJ114" i="25"/>
  <c r="AJ71" i="25"/>
  <c r="AJ68" i="25"/>
  <c r="AJ57" i="25"/>
  <c r="AJ56" i="25"/>
  <c r="AJ55" i="25"/>
  <c r="AJ54" i="25"/>
  <c r="AJ53" i="25"/>
  <c r="AJ52" i="25"/>
  <c r="AJ51" i="25"/>
  <c r="AJ49" i="25"/>
  <c r="AJ67" i="25" s="1"/>
  <c r="AJ47" i="25"/>
  <c r="AJ34" i="25"/>
  <c r="AJ33" i="25"/>
  <c r="AJ32" i="25"/>
  <c r="AJ29" i="25"/>
  <c r="AJ28" i="25"/>
  <c r="AJ26" i="25"/>
  <c r="AJ23" i="25"/>
  <c r="AJ46" i="25"/>
  <c r="AI92" i="25"/>
  <c r="AI90" i="25"/>
  <c r="AI152" i="25"/>
  <c r="AI150" i="25"/>
  <c r="AI110" i="25"/>
  <c r="AI132" i="25"/>
  <c r="AI130" i="25"/>
  <c r="AI112" i="25"/>
  <c r="AI50" i="25"/>
  <c r="AI27" i="25"/>
  <c r="AI37" i="25" s="1"/>
  <c r="AI48" i="25"/>
  <c r="AI25" i="25"/>
  <c r="AI72" i="25"/>
  <c r="AI70" i="25"/>
  <c r="AJ19" i="25"/>
  <c r="AJ20" i="25"/>
  <c r="AH14" i="25"/>
  <c r="AH15" i="25" s="1"/>
  <c r="AI13" i="25"/>
  <c r="AI12" i="25"/>
  <c r="AJ5" i="25"/>
  <c r="AJ11" i="25" s="1"/>
  <c r="AI105" i="25"/>
  <c r="AI65" i="25"/>
  <c r="AI145" i="25"/>
  <c r="AI125" i="25"/>
  <c r="AJ7" i="25"/>
  <c r="AI8" i="25"/>
  <c r="AJ64" i="25"/>
  <c r="AJ104" i="25"/>
  <c r="AJ124" i="25"/>
  <c r="AJ144" i="25"/>
  <c r="AH101" i="25"/>
  <c r="AJ83" i="25"/>
  <c r="AH59" i="25"/>
  <c r="AH141" i="25"/>
  <c r="AJ63" i="25"/>
  <c r="AJ143" i="25"/>
  <c r="AJ41" i="25"/>
  <c r="AJ18" i="25"/>
  <c r="AJ123" i="25"/>
  <c r="AJ103" i="25"/>
  <c r="AI42" i="25"/>
  <c r="AJ43" i="25"/>
  <c r="AK4" i="25"/>
  <c r="AJ2" i="25"/>
  <c r="AJ3" i="25"/>
  <c r="AI39" i="25" l="1"/>
  <c r="AK22" i="25"/>
  <c r="AK38" i="25" s="1"/>
  <c r="AK21" i="25"/>
  <c r="AK159" i="25"/>
  <c r="AK158" i="25"/>
  <c r="AK157" i="25"/>
  <c r="AK156" i="25"/>
  <c r="AK155" i="25"/>
  <c r="AK154" i="25"/>
  <c r="AK153" i="25"/>
  <c r="AK151" i="25"/>
  <c r="AK139" i="25"/>
  <c r="AK138" i="25"/>
  <c r="AK137" i="25"/>
  <c r="AK136" i="25"/>
  <c r="AK135" i="25"/>
  <c r="AK134" i="25"/>
  <c r="AK133" i="25"/>
  <c r="AK131" i="25"/>
  <c r="AK129" i="25"/>
  <c r="AK128" i="25"/>
  <c r="AK119" i="25"/>
  <c r="AK118" i="25"/>
  <c r="AK117" i="25"/>
  <c r="AK116" i="25"/>
  <c r="AK115" i="25"/>
  <c r="AK113" i="25"/>
  <c r="AK111" i="25"/>
  <c r="AK108" i="25"/>
  <c r="AK99" i="25"/>
  <c r="AK98" i="25"/>
  <c r="AK97" i="25"/>
  <c r="AK96" i="25"/>
  <c r="AK95" i="25"/>
  <c r="AK94" i="25"/>
  <c r="AK93" i="25"/>
  <c r="AK114" i="25"/>
  <c r="AK91" i="25"/>
  <c r="AK89" i="25"/>
  <c r="AK88" i="25"/>
  <c r="AK79" i="25"/>
  <c r="AK78" i="25"/>
  <c r="AK77" i="25"/>
  <c r="AK76" i="25"/>
  <c r="AK75" i="25"/>
  <c r="AK74" i="25"/>
  <c r="AK73" i="25"/>
  <c r="AK68" i="25"/>
  <c r="AK57" i="25"/>
  <c r="AK56" i="25"/>
  <c r="AK55" i="25"/>
  <c r="AK54" i="25"/>
  <c r="AK53" i="25"/>
  <c r="AK52" i="25"/>
  <c r="AK51" i="25"/>
  <c r="AK49" i="25"/>
  <c r="AK67" i="25" s="1"/>
  <c r="AK47" i="25"/>
  <c r="AK34" i="25"/>
  <c r="AK33" i="25"/>
  <c r="AK71" i="25"/>
  <c r="AK32" i="25"/>
  <c r="AK29" i="25"/>
  <c r="AK28" i="25"/>
  <c r="AK26" i="25"/>
  <c r="AK23" i="25"/>
  <c r="AK46" i="25"/>
  <c r="AK19" i="25"/>
  <c r="AK20" i="25"/>
  <c r="AJ152" i="25"/>
  <c r="AJ150" i="25"/>
  <c r="AJ70" i="25"/>
  <c r="AJ72" i="25"/>
  <c r="AJ132" i="25"/>
  <c r="AJ130" i="25"/>
  <c r="AJ112" i="25"/>
  <c r="AJ92" i="25"/>
  <c r="AJ90" i="25"/>
  <c r="AJ50" i="25"/>
  <c r="AJ48" i="25"/>
  <c r="AJ25" i="25"/>
  <c r="AJ110" i="25"/>
  <c r="AJ27" i="25"/>
  <c r="AJ37" i="25" s="1"/>
  <c r="AJ39" i="25" s="1"/>
  <c r="AJ12" i="25"/>
  <c r="AJ13" i="25"/>
  <c r="AK5" i="25"/>
  <c r="AK11" i="25" s="1"/>
  <c r="AI14" i="25"/>
  <c r="AI15" i="25" s="1"/>
  <c r="AJ105" i="25"/>
  <c r="AJ65" i="25"/>
  <c r="AJ145" i="25"/>
  <c r="AJ125" i="25"/>
  <c r="AK7" i="25"/>
  <c r="AJ8" i="25"/>
  <c r="AK65" i="25"/>
  <c r="AK64" i="25"/>
  <c r="AK105" i="25"/>
  <c r="AK104" i="25"/>
  <c r="AK125" i="25"/>
  <c r="AK145" i="25"/>
  <c r="AK124" i="25"/>
  <c r="AK144" i="25"/>
  <c r="AI101" i="25"/>
  <c r="AK83" i="25"/>
  <c r="AI59" i="25"/>
  <c r="AK103" i="25"/>
  <c r="AK63" i="25"/>
  <c r="AK143" i="25"/>
  <c r="AK41" i="25"/>
  <c r="AK123" i="25"/>
  <c r="AK18" i="25"/>
  <c r="AI141" i="25"/>
  <c r="AJ42" i="25"/>
  <c r="AK43" i="25"/>
  <c r="AL4" i="25"/>
  <c r="AK2" i="25"/>
  <c r="AK3" i="25"/>
  <c r="AL22" i="25" l="1"/>
  <c r="AL38" i="25" s="1"/>
  <c r="AL21" i="25"/>
  <c r="AL159" i="25"/>
  <c r="AL158" i="25"/>
  <c r="AL157" i="25"/>
  <c r="AL156" i="25"/>
  <c r="AL155" i="25"/>
  <c r="AL154" i="25"/>
  <c r="AL153" i="25"/>
  <c r="AL151" i="25"/>
  <c r="AL139" i="25"/>
  <c r="AL138" i="25"/>
  <c r="AL137" i="25"/>
  <c r="AL136" i="25"/>
  <c r="AL131" i="25"/>
  <c r="AL118" i="25"/>
  <c r="AL115" i="25"/>
  <c r="AL133" i="25"/>
  <c r="AL119" i="25"/>
  <c r="AL117" i="25"/>
  <c r="AL113" i="25"/>
  <c r="AL111" i="25"/>
  <c r="AL108" i="25"/>
  <c r="AL99" i="25"/>
  <c r="AL98" i="25"/>
  <c r="AL97" i="25"/>
  <c r="AL96" i="25"/>
  <c r="AL95" i="25"/>
  <c r="AL94" i="25"/>
  <c r="AL93" i="25"/>
  <c r="AL134" i="25"/>
  <c r="AL128" i="25"/>
  <c r="AL116" i="25"/>
  <c r="AL114" i="25"/>
  <c r="AL135" i="25"/>
  <c r="AL129" i="25"/>
  <c r="AL89" i="25"/>
  <c r="AL79" i="25"/>
  <c r="AL77" i="25"/>
  <c r="AL75" i="25"/>
  <c r="AL73" i="25"/>
  <c r="AL68" i="25"/>
  <c r="AL57" i="25"/>
  <c r="AL56" i="25"/>
  <c r="AL55" i="25"/>
  <c r="AL54" i="25"/>
  <c r="AL53" i="25"/>
  <c r="AL52" i="25"/>
  <c r="AL51" i="25"/>
  <c r="AL49" i="25"/>
  <c r="AL67" i="25" s="1"/>
  <c r="AL47" i="25"/>
  <c r="AL34" i="25"/>
  <c r="AL33" i="25"/>
  <c r="AL91" i="25"/>
  <c r="AL88" i="25"/>
  <c r="AL78" i="25"/>
  <c r="AL76" i="25"/>
  <c r="AL74" i="25"/>
  <c r="AL71" i="25"/>
  <c r="AL46" i="25"/>
  <c r="AL32" i="25"/>
  <c r="AL29" i="25"/>
  <c r="AL28" i="25"/>
  <c r="AL26" i="25"/>
  <c r="AL23" i="25"/>
  <c r="AL19" i="25"/>
  <c r="AL20" i="25"/>
  <c r="AK70" i="25"/>
  <c r="AK72" i="25"/>
  <c r="AK132" i="25"/>
  <c r="AK130" i="25"/>
  <c r="AK112" i="25"/>
  <c r="AK92" i="25"/>
  <c r="AK90" i="25"/>
  <c r="AK152" i="25"/>
  <c r="AK150" i="25"/>
  <c r="AK25" i="25"/>
  <c r="AK27" i="25"/>
  <c r="AK37" i="25" s="1"/>
  <c r="AK39" i="25" s="1"/>
  <c r="AK48" i="25"/>
  <c r="AK50" i="25"/>
  <c r="AK110" i="25"/>
  <c r="AK12" i="25"/>
  <c r="AK13" i="25"/>
  <c r="AL5" i="25"/>
  <c r="AL11" i="25" s="1"/>
  <c r="AJ14" i="25"/>
  <c r="AJ15" i="25" s="1"/>
  <c r="AK8" i="25"/>
  <c r="AL7" i="25"/>
  <c r="AL65" i="25"/>
  <c r="AL105" i="25"/>
  <c r="AL64" i="25"/>
  <c r="AL125" i="25"/>
  <c r="AL104" i="25"/>
  <c r="AL145" i="25"/>
  <c r="AL124" i="25"/>
  <c r="AL144" i="25"/>
  <c r="AJ101" i="25"/>
  <c r="AL83" i="25"/>
  <c r="AJ59" i="25"/>
  <c r="AJ141" i="25"/>
  <c r="AL18" i="25"/>
  <c r="AL123" i="25"/>
  <c r="AL103" i="25"/>
  <c r="AL63" i="25"/>
  <c r="AL41" i="25"/>
  <c r="AL143" i="25"/>
  <c r="AK42" i="25"/>
  <c r="AL43" i="25"/>
  <c r="AM4" i="25"/>
  <c r="AL2" i="25"/>
  <c r="AL3" i="25"/>
  <c r="AM22" i="25" l="1"/>
  <c r="AM21" i="25"/>
  <c r="AM159" i="25"/>
  <c r="AM158" i="25"/>
  <c r="AM157" i="25"/>
  <c r="AM156" i="25"/>
  <c r="AM155" i="25"/>
  <c r="AM154" i="25"/>
  <c r="AM153" i="25"/>
  <c r="AM151" i="25"/>
  <c r="AM139" i="25"/>
  <c r="AM138" i="25"/>
  <c r="AM137" i="25"/>
  <c r="AM136" i="25"/>
  <c r="AM135" i="25"/>
  <c r="AM134" i="25"/>
  <c r="AM133" i="25"/>
  <c r="AM131" i="25"/>
  <c r="AM129" i="25"/>
  <c r="AM128" i="25"/>
  <c r="AM119" i="25"/>
  <c r="AM118" i="25"/>
  <c r="AM117" i="25"/>
  <c r="AM116" i="25"/>
  <c r="AM115" i="25"/>
  <c r="AM114" i="25"/>
  <c r="AM113" i="25"/>
  <c r="AM111" i="25"/>
  <c r="AM108" i="25"/>
  <c r="AM99" i="25"/>
  <c r="AM98" i="25"/>
  <c r="AM97" i="25"/>
  <c r="AM96" i="25"/>
  <c r="AM95" i="25"/>
  <c r="AM94" i="25"/>
  <c r="AM93" i="25"/>
  <c r="AM91" i="25"/>
  <c r="AM89" i="25"/>
  <c r="AM88" i="25"/>
  <c r="AM79" i="25"/>
  <c r="AM78" i="25"/>
  <c r="AM77" i="25"/>
  <c r="AM76" i="25"/>
  <c r="AM75" i="25"/>
  <c r="AM74" i="25"/>
  <c r="AM73" i="25"/>
  <c r="AM71" i="25"/>
  <c r="AM68" i="25"/>
  <c r="AM57" i="25"/>
  <c r="AM56" i="25"/>
  <c r="AM55" i="25"/>
  <c r="AM54" i="25"/>
  <c r="AM53" i="25"/>
  <c r="AM52" i="25"/>
  <c r="AM51" i="25"/>
  <c r="AM49" i="25"/>
  <c r="AM67" i="25" s="1"/>
  <c r="AM47" i="25"/>
  <c r="AM46" i="25"/>
  <c r="AM32" i="25"/>
  <c r="AM29" i="25"/>
  <c r="AM28" i="25"/>
  <c r="AM26" i="25"/>
  <c r="AM23" i="25"/>
  <c r="AM34" i="25"/>
  <c r="AM33" i="25"/>
  <c r="AL132" i="25"/>
  <c r="AL130" i="25"/>
  <c r="AL112" i="25"/>
  <c r="AL110" i="25"/>
  <c r="AL92" i="25"/>
  <c r="AL152" i="25"/>
  <c r="AL150" i="25"/>
  <c r="AL90" i="25"/>
  <c r="AL25" i="25"/>
  <c r="AL72" i="25"/>
  <c r="AL70" i="25"/>
  <c r="AL48" i="25"/>
  <c r="AL50" i="25"/>
  <c r="AL27" i="25"/>
  <c r="AL37" i="25" s="1"/>
  <c r="AL39" i="25" s="1"/>
  <c r="AM19" i="25"/>
  <c r="AM20" i="25"/>
  <c r="AL12" i="25"/>
  <c r="AL13" i="25"/>
  <c r="AM5" i="25"/>
  <c r="AM11" i="25" s="1"/>
  <c r="AK14" i="25"/>
  <c r="AK15" i="25" s="1"/>
  <c r="AL8" i="25"/>
  <c r="AM7" i="25"/>
  <c r="AM65" i="25"/>
  <c r="AM64" i="25"/>
  <c r="AM105" i="25"/>
  <c r="AM104" i="25"/>
  <c r="AM125" i="25"/>
  <c r="AM145" i="25"/>
  <c r="AM124" i="25"/>
  <c r="AM144" i="25"/>
  <c r="AK101" i="25"/>
  <c r="AM83" i="25"/>
  <c r="AK59" i="25"/>
  <c r="AM41" i="25"/>
  <c r="AM18" i="25"/>
  <c r="AM123" i="25"/>
  <c r="AM103" i="25"/>
  <c r="AM63" i="25"/>
  <c r="AM143" i="25"/>
  <c r="AK141" i="25"/>
  <c r="AL42" i="25"/>
  <c r="AM43" i="25"/>
  <c r="AN4" i="25"/>
  <c r="AM2" i="25"/>
  <c r="AM3" i="25"/>
  <c r="AM38" i="25" l="1"/>
  <c r="AN22" i="25"/>
  <c r="AN21" i="25"/>
  <c r="AN158" i="25"/>
  <c r="AN154" i="25"/>
  <c r="AN159" i="25"/>
  <c r="AN155" i="25"/>
  <c r="AN137" i="25"/>
  <c r="AN156" i="25"/>
  <c r="AN151" i="25"/>
  <c r="AN138" i="25"/>
  <c r="AN135" i="25"/>
  <c r="AN134" i="25"/>
  <c r="AN133" i="25"/>
  <c r="AN131" i="25"/>
  <c r="AN129" i="25"/>
  <c r="AN128" i="25"/>
  <c r="AN119" i="25"/>
  <c r="AN118" i="25"/>
  <c r="AN117" i="25"/>
  <c r="AN116" i="25"/>
  <c r="AN115" i="25"/>
  <c r="AN136" i="25"/>
  <c r="AN139" i="25"/>
  <c r="AN113" i="25"/>
  <c r="AN111" i="25"/>
  <c r="AN108" i="25"/>
  <c r="AN99" i="25"/>
  <c r="AN98" i="25"/>
  <c r="AN97" i="25"/>
  <c r="AN96" i="25"/>
  <c r="AN95" i="25"/>
  <c r="AN94" i="25"/>
  <c r="AN93" i="25"/>
  <c r="AN157" i="25"/>
  <c r="AN114" i="25"/>
  <c r="AN153" i="25"/>
  <c r="AN91" i="25"/>
  <c r="AN89" i="25"/>
  <c r="AN88" i="25"/>
  <c r="AN79" i="25"/>
  <c r="AN78" i="25"/>
  <c r="AN77" i="25"/>
  <c r="AN76" i="25"/>
  <c r="AN75" i="25"/>
  <c r="AN74" i="25"/>
  <c r="AN73" i="25"/>
  <c r="AN71" i="25"/>
  <c r="AN57" i="25"/>
  <c r="AN53" i="25"/>
  <c r="AN47" i="25"/>
  <c r="AN68" i="25"/>
  <c r="AN54" i="25"/>
  <c r="AN49" i="25"/>
  <c r="AN67" i="25" s="1"/>
  <c r="AN32" i="25"/>
  <c r="AN29" i="25"/>
  <c r="AN28" i="25"/>
  <c r="AN26" i="25"/>
  <c r="AN23" i="25"/>
  <c r="AN46" i="25"/>
  <c r="AN34" i="25"/>
  <c r="AN33" i="25"/>
  <c r="AN55" i="25"/>
  <c r="AN51" i="25"/>
  <c r="AN56" i="25"/>
  <c r="AN52" i="25"/>
  <c r="AM70" i="25"/>
  <c r="AM132" i="25"/>
  <c r="AM130" i="25"/>
  <c r="AM112" i="25"/>
  <c r="AM110" i="25"/>
  <c r="AM92" i="25"/>
  <c r="AM90" i="25"/>
  <c r="AM152" i="25"/>
  <c r="AM150" i="25"/>
  <c r="AM50" i="25"/>
  <c r="AM48" i="25"/>
  <c r="AM72" i="25"/>
  <c r="AM25" i="25"/>
  <c r="AM27" i="25"/>
  <c r="AN19" i="25"/>
  <c r="AN20" i="25"/>
  <c r="AM12" i="25"/>
  <c r="AL14" i="25"/>
  <c r="AL15" i="25" s="1"/>
  <c r="AM13" i="25"/>
  <c r="AN5" i="25"/>
  <c r="AN11" i="25" s="1"/>
  <c r="AN7" i="25"/>
  <c r="AM8" i="25"/>
  <c r="AN65" i="25"/>
  <c r="AN105" i="25"/>
  <c r="AN64" i="25"/>
  <c r="AN104" i="25"/>
  <c r="AN125" i="25"/>
  <c r="AN145" i="25"/>
  <c r="AN124" i="25"/>
  <c r="AN144" i="25"/>
  <c r="AL101" i="25"/>
  <c r="AN83" i="25"/>
  <c r="AL59" i="25"/>
  <c r="AN63" i="25"/>
  <c r="AN143" i="25"/>
  <c r="AN41" i="25"/>
  <c r="AN18" i="25"/>
  <c r="AN103" i="25"/>
  <c r="AN123" i="25"/>
  <c r="AL141" i="25"/>
  <c r="AM42" i="25"/>
  <c r="AN43" i="25"/>
  <c r="AO4" i="25"/>
  <c r="AN2" i="25"/>
  <c r="AN3" i="25"/>
  <c r="AM37" i="25" l="1"/>
  <c r="AM39" i="25" s="1"/>
  <c r="AN38" i="25"/>
  <c r="AO22" i="25"/>
  <c r="AO38" i="25" s="1"/>
  <c r="AO21" i="25"/>
  <c r="AO159" i="25"/>
  <c r="AO158" i="25"/>
  <c r="AO157" i="25"/>
  <c r="AO156" i="25"/>
  <c r="AO155" i="25"/>
  <c r="AO154" i="25"/>
  <c r="AO153" i="25"/>
  <c r="AO151" i="25"/>
  <c r="AO139" i="25"/>
  <c r="AO138" i="25"/>
  <c r="AO137" i="25"/>
  <c r="AO136" i="25"/>
  <c r="AO135" i="25"/>
  <c r="AO134" i="25"/>
  <c r="AO133" i="25"/>
  <c r="AO131" i="25"/>
  <c r="AO129" i="25"/>
  <c r="AO128" i="25"/>
  <c r="AO119" i="25"/>
  <c r="AO118" i="25"/>
  <c r="AO117" i="25"/>
  <c r="AO116" i="25"/>
  <c r="AO115" i="25"/>
  <c r="AO114" i="25"/>
  <c r="AO113" i="25"/>
  <c r="AO111" i="25"/>
  <c r="AO108" i="25"/>
  <c r="AO99" i="25"/>
  <c r="AO98" i="25"/>
  <c r="AO97" i="25"/>
  <c r="AO96" i="25"/>
  <c r="AO95" i="25"/>
  <c r="AO94" i="25"/>
  <c r="AO93" i="25"/>
  <c r="AO91" i="25"/>
  <c r="AO88" i="25"/>
  <c r="AO78" i="25"/>
  <c r="AO76" i="25"/>
  <c r="AO74" i="25"/>
  <c r="AO71" i="25"/>
  <c r="AO68" i="25"/>
  <c r="AO57" i="25"/>
  <c r="AO56" i="25"/>
  <c r="AO55" i="25"/>
  <c r="AO54" i="25"/>
  <c r="AO53" i="25"/>
  <c r="AO52" i="25"/>
  <c r="AO51" i="25"/>
  <c r="AO49" i="25"/>
  <c r="AO67" i="25" s="1"/>
  <c r="AO47" i="25"/>
  <c r="AO34" i="25"/>
  <c r="AO33" i="25"/>
  <c r="AO79" i="25"/>
  <c r="AO73" i="25"/>
  <c r="AO32" i="25"/>
  <c r="AO29" i="25"/>
  <c r="AO28" i="25"/>
  <c r="AO26" i="25"/>
  <c r="AO23" i="25"/>
  <c r="AO77" i="25"/>
  <c r="AO46" i="25"/>
  <c r="AO89" i="25"/>
  <c r="AO75" i="25"/>
  <c r="AN132" i="25"/>
  <c r="AN130" i="25"/>
  <c r="AN112" i="25"/>
  <c r="AN92" i="25"/>
  <c r="AN90" i="25"/>
  <c r="AN50" i="25"/>
  <c r="AN152" i="25"/>
  <c r="AN150" i="25"/>
  <c r="AN70" i="25"/>
  <c r="AN48" i="25"/>
  <c r="AN27" i="25"/>
  <c r="AN25" i="25"/>
  <c r="AN72" i="25"/>
  <c r="AN110" i="25"/>
  <c r="AO19" i="25"/>
  <c r="AO20" i="25"/>
  <c r="AM14" i="25"/>
  <c r="AM15" i="25" s="1"/>
  <c r="AN12" i="25"/>
  <c r="AN13" i="25"/>
  <c r="AO5" i="25"/>
  <c r="AO11" i="25" s="1"/>
  <c r="AN8" i="25"/>
  <c r="AO7" i="25"/>
  <c r="AO65" i="25"/>
  <c r="AO64" i="25"/>
  <c r="AO105" i="25"/>
  <c r="AO125" i="25"/>
  <c r="AO104" i="25"/>
  <c r="AO124" i="25"/>
  <c r="AO145" i="25"/>
  <c r="AO144" i="25"/>
  <c r="AO83" i="25"/>
  <c r="AM101" i="25"/>
  <c r="AM59" i="25"/>
  <c r="AO103" i="25"/>
  <c r="AO63" i="25"/>
  <c r="AO143" i="25"/>
  <c r="AO41" i="25"/>
  <c r="AO18" i="25"/>
  <c r="AO123" i="25"/>
  <c r="AM141" i="25"/>
  <c r="AN42" i="25"/>
  <c r="AO43" i="25"/>
  <c r="AP4" i="25"/>
  <c r="AO2" i="25"/>
  <c r="AO3" i="25"/>
  <c r="AN37" i="25" l="1"/>
  <c r="AN39" i="25" s="1"/>
  <c r="AP22" i="25"/>
  <c r="AP38" i="25" s="1"/>
  <c r="AP21" i="25"/>
  <c r="AP159" i="25"/>
  <c r="AP158" i="25"/>
  <c r="AP157" i="25"/>
  <c r="AP156" i="25"/>
  <c r="AP155" i="25"/>
  <c r="AP154" i="25"/>
  <c r="AP153" i="25"/>
  <c r="AP151" i="25"/>
  <c r="AP139" i="25"/>
  <c r="AP138" i="25"/>
  <c r="AP137" i="25"/>
  <c r="AP136" i="25"/>
  <c r="AP135" i="25"/>
  <c r="AP134" i="25"/>
  <c r="AP133" i="25"/>
  <c r="AP131" i="25"/>
  <c r="AP129" i="25"/>
  <c r="AP128" i="25"/>
  <c r="AP119" i="25"/>
  <c r="AP118" i="25"/>
  <c r="AP117" i="25"/>
  <c r="AP116" i="25"/>
  <c r="AP115" i="25"/>
  <c r="AP114" i="25"/>
  <c r="AP108" i="25"/>
  <c r="AP96" i="25"/>
  <c r="AP97" i="25"/>
  <c r="AP93" i="25"/>
  <c r="AP91" i="25"/>
  <c r="AP89" i="25"/>
  <c r="AP88" i="25"/>
  <c r="AP79" i="25"/>
  <c r="AP78" i="25"/>
  <c r="AP77" i="25"/>
  <c r="AP76" i="25"/>
  <c r="AP75" i="25"/>
  <c r="AP74" i="25"/>
  <c r="AP73" i="25"/>
  <c r="AP71" i="25"/>
  <c r="AP113" i="25"/>
  <c r="AP99" i="25"/>
  <c r="AP95" i="25"/>
  <c r="AP94" i="25"/>
  <c r="AP98" i="25"/>
  <c r="AP68" i="25"/>
  <c r="AP57" i="25"/>
  <c r="AP56" i="25"/>
  <c r="AP55" i="25"/>
  <c r="AP54" i="25"/>
  <c r="AP53" i="25"/>
  <c r="AP52" i="25"/>
  <c r="AP51" i="25"/>
  <c r="AP49" i="25"/>
  <c r="AP67" i="25" s="1"/>
  <c r="AP47" i="25"/>
  <c r="AP34" i="25"/>
  <c r="AP33" i="25"/>
  <c r="AP32" i="25"/>
  <c r="AP29" i="25"/>
  <c r="AP28" i="25"/>
  <c r="AP26" i="25"/>
  <c r="AP23" i="25"/>
  <c r="AP111" i="25"/>
  <c r="AP46" i="25"/>
  <c r="AO132" i="25"/>
  <c r="AO130" i="25"/>
  <c r="AO112" i="25"/>
  <c r="AO92" i="25"/>
  <c r="AO90" i="25"/>
  <c r="AO152" i="25"/>
  <c r="AO150" i="25"/>
  <c r="AO70" i="25"/>
  <c r="AO27" i="25"/>
  <c r="AO37" i="25" s="1"/>
  <c r="AO39" i="25" s="1"/>
  <c r="AO72" i="25"/>
  <c r="AO50" i="25"/>
  <c r="AO48" i="25"/>
  <c r="AO25" i="25"/>
  <c r="AO110" i="25"/>
  <c r="AP19" i="25"/>
  <c r="AP20" i="25"/>
  <c r="AP5" i="25"/>
  <c r="AP11" i="25" s="1"/>
  <c r="AN14" i="25"/>
  <c r="AN15" i="25" s="1"/>
  <c r="AO12" i="25"/>
  <c r="AO13" i="25"/>
  <c r="AP7" i="25"/>
  <c r="AO8" i="25"/>
  <c r="AP65" i="25"/>
  <c r="AP64" i="25"/>
  <c r="AP105" i="25"/>
  <c r="AP104" i="25"/>
  <c r="AP125" i="25"/>
  <c r="AP124" i="25"/>
  <c r="AP145" i="25"/>
  <c r="AP144" i="25"/>
  <c r="AN101" i="25"/>
  <c r="AP83" i="25"/>
  <c r="AN59" i="25"/>
  <c r="AP18" i="25"/>
  <c r="AP123" i="25"/>
  <c r="AP103" i="25"/>
  <c r="AP63" i="25"/>
  <c r="AP41" i="25"/>
  <c r="AP143" i="25"/>
  <c r="AN141" i="25"/>
  <c r="AO42" i="25"/>
  <c r="AP43" i="25"/>
  <c r="AQ4" i="25"/>
  <c r="AP2" i="25"/>
  <c r="AP3" i="25"/>
  <c r="AQ22" i="25" l="1"/>
  <c r="AQ38" i="25" s="1"/>
  <c r="AQ21" i="25"/>
  <c r="AQ159" i="25"/>
  <c r="AQ158" i="25"/>
  <c r="AQ157" i="25"/>
  <c r="AQ156" i="25"/>
  <c r="AQ155" i="25"/>
  <c r="AQ154" i="25"/>
  <c r="AQ153" i="25"/>
  <c r="AQ151" i="25"/>
  <c r="AQ139" i="25"/>
  <c r="AQ138" i="25"/>
  <c r="AQ137" i="25"/>
  <c r="AQ135" i="25"/>
  <c r="AQ134" i="25"/>
  <c r="AQ133" i="25"/>
  <c r="AQ131" i="25"/>
  <c r="AQ129" i="25"/>
  <c r="AQ128" i="25"/>
  <c r="AQ119" i="25"/>
  <c r="AQ118" i="25"/>
  <c r="AQ136" i="25"/>
  <c r="AQ117" i="25"/>
  <c r="AQ114" i="25"/>
  <c r="AQ116" i="25"/>
  <c r="AQ113" i="25"/>
  <c r="AQ111" i="25"/>
  <c r="AQ108" i="25"/>
  <c r="AQ99" i="25"/>
  <c r="AQ98" i="25"/>
  <c r="AQ97" i="25"/>
  <c r="AQ96" i="25"/>
  <c r="AQ95" i="25"/>
  <c r="AQ94" i="25"/>
  <c r="AQ93" i="25"/>
  <c r="AQ115" i="25"/>
  <c r="AQ91" i="25"/>
  <c r="AQ89" i="25"/>
  <c r="AQ88" i="25"/>
  <c r="AQ79" i="25"/>
  <c r="AQ78" i="25"/>
  <c r="AQ77" i="25"/>
  <c r="AQ76" i="25"/>
  <c r="AQ75" i="25"/>
  <c r="AQ74" i="25"/>
  <c r="AQ73" i="25"/>
  <c r="AQ71" i="25"/>
  <c r="AQ68" i="25"/>
  <c r="AQ57" i="25"/>
  <c r="AQ56" i="25"/>
  <c r="AQ55" i="25"/>
  <c r="AQ54" i="25"/>
  <c r="AQ53" i="25"/>
  <c r="AQ52" i="25"/>
  <c r="AQ51" i="25"/>
  <c r="AQ49" i="25"/>
  <c r="AQ67" i="25" s="1"/>
  <c r="AQ47" i="25"/>
  <c r="AQ32" i="25"/>
  <c r="AQ29" i="25"/>
  <c r="AQ28" i="25"/>
  <c r="AQ34" i="25"/>
  <c r="AQ33" i="25"/>
  <c r="AQ23" i="25"/>
  <c r="AQ46" i="25"/>
  <c r="AQ26" i="25"/>
  <c r="AQ19" i="25"/>
  <c r="AQ20" i="25"/>
  <c r="AP110" i="25"/>
  <c r="AP92" i="25"/>
  <c r="AP152" i="25"/>
  <c r="AP150" i="25"/>
  <c r="AP132" i="25"/>
  <c r="AP130" i="25"/>
  <c r="AP112" i="25"/>
  <c r="AP72" i="25"/>
  <c r="AP48" i="25"/>
  <c r="AP25" i="25"/>
  <c r="AP50" i="25"/>
  <c r="AP90" i="25"/>
  <c r="AP27" i="25"/>
  <c r="AP37" i="25" s="1"/>
  <c r="AP39" i="25" s="1"/>
  <c r="AP70" i="25"/>
  <c r="AP12" i="25"/>
  <c r="AP13" i="25"/>
  <c r="AQ5" i="25"/>
  <c r="AQ11" i="25" s="1"/>
  <c r="AO14" i="25"/>
  <c r="AO15" i="25" s="1"/>
  <c r="AP8" i="25"/>
  <c r="AQ7" i="25"/>
  <c r="AQ65" i="25"/>
  <c r="AQ105" i="25"/>
  <c r="AQ64" i="25"/>
  <c r="AQ104" i="25"/>
  <c r="AQ125" i="25"/>
  <c r="AQ145" i="25"/>
  <c r="AQ124" i="25"/>
  <c r="AQ144" i="25"/>
  <c r="AQ83" i="25"/>
  <c r="AO101" i="25"/>
  <c r="AO59" i="25"/>
  <c r="AR4" i="25"/>
  <c r="AQ41" i="25"/>
  <c r="AQ18" i="25"/>
  <c r="AQ123" i="25"/>
  <c r="AQ63" i="25"/>
  <c r="AQ103" i="25"/>
  <c r="AQ143" i="25"/>
  <c r="AO141" i="25"/>
  <c r="AP42" i="25"/>
  <c r="AQ43" i="25"/>
  <c r="AQ2" i="25"/>
  <c r="AQ3" i="25"/>
  <c r="AR22" i="25" l="1"/>
  <c r="AR38" i="25" s="1"/>
  <c r="AR21" i="25"/>
  <c r="AR159" i="25"/>
  <c r="AR158" i="25"/>
  <c r="AR157" i="25"/>
  <c r="AR156" i="25"/>
  <c r="AR155" i="25"/>
  <c r="AR154" i="25"/>
  <c r="AR153" i="25"/>
  <c r="AR151" i="25"/>
  <c r="AR139" i="25"/>
  <c r="AR138" i="25"/>
  <c r="AR137" i="25"/>
  <c r="AR136" i="25"/>
  <c r="AR135" i="25"/>
  <c r="AR134" i="25"/>
  <c r="AR133" i="25"/>
  <c r="AR131" i="25"/>
  <c r="AR129" i="25"/>
  <c r="AR128" i="25"/>
  <c r="AR119" i="25"/>
  <c r="AR118" i="25"/>
  <c r="AR117" i="25"/>
  <c r="AR114" i="25"/>
  <c r="AR116" i="25"/>
  <c r="AR113" i="25"/>
  <c r="AR111" i="25"/>
  <c r="AR108" i="25"/>
  <c r="AR99" i="25"/>
  <c r="AR98" i="25"/>
  <c r="AR97" i="25"/>
  <c r="AR96" i="25"/>
  <c r="AR95" i="25"/>
  <c r="AR94" i="25"/>
  <c r="AR93" i="25"/>
  <c r="AR91" i="25"/>
  <c r="AR89" i="25"/>
  <c r="AR88" i="25"/>
  <c r="AR79" i="25"/>
  <c r="AR78" i="25"/>
  <c r="AR77" i="25"/>
  <c r="AR76" i="25"/>
  <c r="AR75" i="25"/>
  <c r="AR74" i="25"/>
  <c r="AR73" i="25"/>
  <c r="AR115" i="25"/>
  <c r="AR68" i="25"/>
  <c r="AR57" i="25"/>
  <c r="AR56" i="25"/>
  <c r="AR55" i="25"/>
  <c r="AR54" i="25"/>
  <c r="AR53" i="25"/>
  <c r="AR52" i="25"/>
  <c r="AR51" i="25"/>
  <c r="AR49" i="25"/>
  <c r="AR67" i="25" s="1"/>
  <c r="AR47" i="25"/>
  <c r="AR71" i="25"/>
  <c r="AR34" i="25"/>
  <c r="AR33" i="25"/>
  <c r="AR32" i="25"/>
  <c r="AR29" i="25"/>
  <c r="AR28" i="25"/>
  <c r="AR26" i="25"/>
  <c r="AR23" i="25"/>
  <c r="AR46" i="25"/>
  <c r="AQ110" i="25"/>
  <c r="AQ92" i="25"/>
  <c r="AQ90" i="25"/>
  <c r="AQ152" i="25"/>
  <c r="AQ150" i="25"/>
  <c r="AQ132" i="25"/>
  <c r="AQ130" i="25"/>
  <c r="AQ112" i="25"/>
  <c r="AQ50" i="25"/>
  <c r="AQ27" i="25"/>
  <c r="AQ37" i="25" s="1"/>
  <c r="AQ39" i="25" s="1"/>
  <c r="AQ48" i="25"/>
  <c r="AQ25" i="25"/>
  <c r="AQ72" i="25"/>
  <c r="AQ70" i="25"/>
  <c r="AR19" i="25"/>
  <c r="AR20" i="25"/>
  <c r="AP14" i="25"/>
  <c r="AP15" i="25" s="1"/>
  <c r="AQ12" i="25"/>
  <c r="AQ13" i="25"/>
  <c r="AR5" i="25"/>
  <c r="AR11" i="25" s="1"/>
  <c r="AR7" i="25"/>
  <c r="AQ8" i="25"/>
  <c r="AR65" i="25"/>
  <c r="AR105" i="25"/>
  <c r="AR64" i="25"/>
  <c r="AR125" i="25"/>
  <c r="AR104" i="25"/>
  <c r="AR145" i="25"/>
  <c r="AR124" i="25"/>
  <c r="AR144" i="25"/>
  <c r="AR83" i="25"/>
  <c r="AP101" i="25"/>
  <c r="AR43" i="25"/>
  <c r="AP59" i="25"/>
  <c r="AR3" i="25"/>
  <c r="AR8" i="25" s="1"/>
  <c r="AR18" i="25"/>
  <c r="AR2" i="25"/>
  <c r="AR41" i="25"/>
  <c r="AS4" i="25"/>
  <c r="AR143" i="25"/>
  <c r="AR63" i="25"/>
  <c r="AR103" i="25"/>
  <c r="AR123" i="25"/>
  <c r="AP141" i="25"/>
  <c r="AQ42" i="25"/>
  <c r="AS22" i="25" l="1"/>
  <c r="AS38" i="25" s="1"/>
  <c r="AS21" i="25"/>
  <c r="AS159" i="25"/>
  <c r="AS158" i="25"/>
  <c r="AS157" i="25"/>
  <c r="AS156" i="25"/>
  <c r="AS155" i="25"/>
  <c r="AS154" i="25"/>
  <c r="AS153" i="25"/>
  <c r="AS151" i="25"/>
  <c r="AS139" i="25"/>
  <c r="AS138" i="25"/>
  <c r="AS137" i="25"/>
  <c r="AS136" i="25"/>
  <c r="AS135" i="25"/>
  <c r="AS134" i="25"/>
  <c r="AS133" i="25"/>
  <c r="AS131" i="25"/>
  <c r="AS129" i="25"/>
  <c r="AS128" i="25"/>
  <c r="AS119" i="25"/>
  <c r="AS118" i="25"/>
  <c r="AS117" i="25"/>
  <c r="AS116" i="25"/>
  <c r="AS115" i="25"/>
  <c r="AS113" i="25"/>
  <c r="AS111" i="25"/>
  <c r="AS108" i="25"/>
  <c r="AS99" i="25"/>
  <c r="AS98" i="25"/>
  <c r="AS97" i="25"/>
  <c r="AS96" i="25"/>
  <c r="AS95" i="25"/>
  <c r="AS94" i="25"/>
  <c r="AS93" i="25"/>
  <c r="AS114" i="25"/>
  <c r="AS91" i="25"/>
  <c r="AS89" i="25"/>
  <c r="AS88" i="25"/>
  <c r="AS79" i="25"/>
  <c r="AS78" i="25"/>
  <c r="AS77" i="25"/>
  <c r="AS76" i="25"/>
  <c r="AS75" i="25"/>
  <c r="AS74" i="25"/>
  <c r="AS73" i="25"/>
  <c r="AS68" i="25"/>
  <c r="AS57" i="25"/>
  <c r="AS56" i="25"/>
  <c r="AS55" i="25"/>
  <c r="AS54" i="25"/>
  <c r="AS53" i="25"/>
  <c r="AS52" i="25"/>
  <c r="AS51" i="25"/>
  <c r="AS49" i="25"/>
  <c r="AS67" i="25" s="1"/>
  <c r="AS47" i="25"/>
  <c r="AS34" i="25"/>
  <c r="AS33" i="25"/>
  <c r="AS32" i="25"/>
  <c r="AS71" i="25"/>
  <c r="AS46" i="25"/>
  <c r="AS29" i="25"/>
  <c r="AS28" i="25"/>
  <c r="AS26" i="25"/>
  <c r="AS23" i="25"/>
  <c r="AS19" i="25"/>
  <c r="AS20" i="25"/>
  <c r="AR152" i="25"/>
  <c r="AR150" i="25"/>
  <c r="AR132" i="25"/>
  <c r="AR130" i="25"/>
  <c r="AR112" i="25"/>
  <c r="AR72" i="25"/>
  <c r="AR92" i="25"/>
  <c r="AR90" i="25"/>
  <c r="AR50" i="25"/>
  <c r="AR70" i="25"/>
  <c r="AR48" i="25"/>
  <c r="AR25" i="25"/>
  <c r="AR110" i="25"/>
  <c r="AR27" i="25"/>
  <c r="AR37" i="25" s="1"/>
  <c r="AQ14" i="25"/>
  <c r="AQ15" i="25" s="1"/>
  <c r="AR12" i="25"/>
  <c r="AR13" i="25"/>
  <c r="AS5" i="25"/>
  <c r="AS11" i="25" s="1"/>
  <c r="AS7" i="25"/>
  <c r="AS65" i="25"/>
  <c r="AS105" i="25"/>
  <c r="AS64" i="25"/>
  <c r="AS104" i="25"/>
  <c r="AS125" i="25"/>
  <c r="AS124" i="25"/>
  <c r="AS145" i="25"/>
  <c r="AS144" i="25"/>
  <c r="AQ101" i="25"/>
  <c r="AS83" i="25"/>
  <c r="AR42" i="25"/>
  <c r="AQ59" i="25"/>
  <c r="AS143" i="25"/>
  <c r="AS43" i="25"/>
  <c r="AS103" i="25"/>
  <c r="AS2" i="25"/>
  <c r="AS3" i="25"/>
  <c r="AT4" i="25"/>
  <c r="AS123" i="25"/>
  <c r="AS41" i="25"/>
  <c r="AS18" i="25"/>
  <c r="AS63" i="25"/>
  <c r="AQ141" i="25"/>
  <c r="AR39" i="25" l="1"/>
  <c r="AT22" i="25"/>
  <c r="AT38" i="25" s="1"/>
  <c r="AT21" i="25"/>
  <c r="AT159" i="25"/>
  <c r="AT158" i="25"/>
  <c r="AT157" i="25"/>
  <c r="AT156" i="25"/>
  <c r="AT155" i="25"/>
  <c r="AT154" i="25"/>
  <c r="AT153" i="25"/>
  <c r="AT151" i="25"/>
  <c r="AT139" i="25"/>
  <c r="AT138" i="25"/>
  <c r="AT137" i="25"/>
  <c r="AT136" i="25"/>
  <c r="AT133" i="25"/>
  <c r="AT119" i="25"/>
  <c r="AT116" i="25"/>
  <c r="AT113" i="25"/>
  <c r="AT111" i="25"/>
  <c r="AT108" i="25"/>
  <c r="AT99" i="25"/>
  <c r="AT98" i="25"/>
  <c r="AT97" i="25"/>
  <c r="AT96" i="25"/>
  <c r="AT95" i="25"/>
  <c r="AT94" i="25"/>
  <c r="AT93" i="25"/>
  <c r="AT134" i="25"/>
  <c r="AT128" i="25"/>
  <c r="AT135" i="25"/>
  <c r="AT129" i="25"/>
  <c r="AT115" i="25"/>
  <c r="AT131" i="25"/>
  <c r="AT118" i="25"/>
  <c r="AT117" i="25"/>
  <c r="AT114" i="25"/>
  <c r="AT68" i="25"/>
  <c r="AT57" i="25"/>
  <c r="AT56" i="25"/>
  <c r="AT55" i="25"/>
  <c r="AT54" i="25"/>
  <c r="AT53" i="25"/>
  <c r="AT52" i="25"/>
  <c r="AT51" i="25"/>
  <c r="AT49" i="25"/>
  <c r="AT67" i="25" s="1"/>
  <c r="AT47" i="25"/>
  <c r="AT34" i="25"/>
  <c r="AT33" i="25"/>
  <c r="AT91" i="25"/>
  <c r="AT88" i="25"/>
  <c r="AT78" i="25"/>
  <c r="AT76" i="25"/>
  <c r="AT74" i="25"/>
  <c r="AT71" i="25"/>
  <c r="AT89" i="25"/>
  <c r="AT79" i="25"/>
  <c r="AT77" i="25"/>
  <c r="AT75" i="25"/>
  <c r="AT73" i="25"/>
  <c r="AT46" i="25"/>
  <c r="AT29" i="25"/>
  <c r="AT28" i="25"/>
  <c r="AT26" i="25"/>
  <c r="AT23" i="25"/>
  <c r="AT32" i="25"/>
  <c r="AS132" i="25"/>
  <c r="AS130" i="25"/>
  <c r="AS112" i="25"/>
  <c r="AS70" i="25"/>
  <c r="AS92" i="25"/>
  <c r="AS90" i="25"/>
  <c r="AS152" i="25"/>
  <c r="AS150" i="25"/>
  <c r="AS27" i="25"/>
  <c r="AS37" i="25" s="1"/>
  <c r="AS39" i="25" s="1"/>
  <c r="AS50" i="25"/>
  <c r="AS48" i="25"/>
  <c r="AS25" i="25"/>
  <c r="AS72" i="25"/>
  <c r="AS110" i="25"/>
  <c r="AT19" i="25"/>
  <c r="AT20" i="25"/>
  <c r="AR14" i="25"/>
  <c r="AR15" i="25" s="1"/>
  <c r="AS12" i="25"/>
  <c r="AT5" i="25"/>
  <c r="AT11" i="25" s="1"/>
  <c r="AS13" i="25"/>
  <c r="AS8" i="25"/>
  <c r="AT7" i="25"/>
  <c r="AT65" i="25"/>
  <c r="AT105" i="25"/>
  <c r="AT64" i="25"/>
  <c r="AT104" i="25"/>
  <c r="AT125" i="25"/>
  <c r="AT145" i="25"/>
  <c r="AT124" i="25"/>
  <c r="AT144" i="25"/>
  <c r="AR101" i="25"/>
  <c r="AT83" i="25"/>
  <c r="AR141" i="25"/>
  <c r="AS42" i="25"/>
  <c r="AR59" i="25"/>
  <c r="AT3" i="25"/>
  <c r="AT123" i="25"/>
  <c r="AT43" i="25"/>
  <c r="AU4" i="25"/>
  <c r="AT143" i="25"/>
  <c r="AT103" i="25"/>
  <c r="AT41" i="25"/>
  <c r="AT18" i="25"/>
  <c r="AT63" i="25"/>
  <c r="AT2" i="25"/>
  <c r="AU22" i="25" l="1"/>
  <c r="AU21" i="25"/>
  <c r="AU159" i="25"/>
  <c r="AU158" i="25"/>
  <c r="AU157" i="25"/>
  <c r="AU156" i="25"/>
  <c r="AU155" i="25"/>
  <c r="AU154" i="25"/>
  <c r="AU153" i="25"/>
  <c r="AU151" i="25"/>
  <c r="AU139" i="25"/>
  <c r="AU138" i="25"/>
  <c r="AU137" i="25"/>
  <c r="AU136" i="25"/>
  <c r="AU135" i="25"/>
  <c r="AU134" i="25"/>
  <c r="AU133" i="25"/>
  <c r="AU131" i="25"/>
  <c r="AU129" i="25"/>
  <c r="AU128" i="25"/>
  <c r="AU119" i="25"/>
  <c r="AU118" i="25"/>
  <c r="AU117" i="25"/>
  <c r="AU116" i="25"/>
  <c r="AU115" i="25"/>
  <c r="AU114" i="25"/>
  <c r="AU113" i="25"/>
  <c r="AU111" i="25"/>
  <c r="AU108" i="25"/>
  <c r="AU99" i="25"/>
  <c r="AU98" i="25"/>
  <c r="AU97" i="25"/>
  <c r="AU96" i="25"/>
  <c r="AU95" i="25"/>
  <c r="AU94" i="25"/>
  <c r="AU93" i="25"/>
  <c r="AU91" i="25"/>
  <c r="AU89" i="25"/>
  <c r="AU88" i="25"/>
  <c r="AU79" i="25"/>
  <c r="AU78" i="25"/>
  <c r="AU77" i="25"/>
  <c r="AU76" i="25"/>
  <c r="AU75" i="25"/>
  <c r="AU74" i="25"/>
  <c r="AU73" i="25"/>
  <c r="AU71" i="25"/>
  <c r="AU68" i="25"/>
  <c r="AU57" i="25"/>
  <c r="AU56" i="25"/>
  <c r="AU55" i="25"/>
  <c r="AU54" i="25"/>
  <c r="AU53" i="25"/>
  <c r="AU52" i="25"/>
  <c r="AU51" i="25"/>
  <c r="AU49" i="25"/>
  <c r="AU67" i="25" s="1"/>
  <c r="AU47" i="25"/>
  <c r="AU34" i="25"/>
  <c r="AU33" i="25"/>
  <c r="AU46" i="25"/>
  <c r="AU29" i="25"/>
  <c r="AU28" i="25"/>
  <c r="AU26" i="25"/>
  <c r="AU23" i="25"/>
  <c r="AU32" i="25"/>
  <c r="AT132" i="25"/>
  <c r="AT130" i="25"/>
  <c r="AT112" i="25"/>
  <c r="AT70" i="25"/>
  <c r="AT92" i="25"/>
  <c r="AT152" i="25"/>
  <c r="AT150" i="25"/>
  <c r="AT110" i="25"/>
  <c r="AT90" i="25"/>
  <c r="AT72" i="25"/>
  <c r="AT50" i="25"/>
  <c r="AT48" i="25"/>
  <c r="AT25" i="25"/>
  <c r="AT27" i="25"/>
  <c r="AT37" i="25" s="1"/>
  <c r="AU19" i="25"/>
  <c r="AU20" i="25"/>
  <c r="AS14" i="25"/>
  <c r="AS15" i="25" s="1"/>
  <c r="AT12" i="25"/>
  <c r="AT13" i="25"/>
  <c r="AU5" i="25"/>
  <c r="AU11" i="25" s="1"/>
  <c r="AT8" i="25"/>
  <c r="AU7" i="25"/>
  <c r="AU65" i="25"/>
  <c r="AU105" i="25"/>
  <c r="AU64" i="25"/>
  <c r="AU104" i="25"/>
  <c r="AU125" i="25"/>
  <c r="AU124" i="25"/>
  <c r="AU145" i="25"/>
  <c r="AU144" i="25"/>
  <c r="AU123" i="25"/>
  <c r="AS101" i="25"/>
  <c r="AU41" i="25"/>
  <c r="AU83" i="25"/>
  <c r="AU43" i="25"/>
  <c r="AU143" i="25"/>
  <c r="AU63" i="25"/>
  <c r="AU3" i="25"/>
  <c r="AU2" i="25"/>
  <c r="AV4" i="25"/>
  <c r="AU103" i="25"/>
  <c r="AU18" i="25"/>
  <c r="AS59" i="25"/>
  <c r="AS141" i="25"/>
  <c r="AT42" i="25"/>
  <c r="AU38" i="25" l="1"/>
  <c r="AT39" i="25"/>
  <c r="AV22" i="25"/>
  <c r="AV21" i="25"/>
  <c r="AV159" i="25"/>
  <c r="AV155" i="25"/>
  <c r="AV137" i="25"/>
  <c r="AV156" i="25"/>
  <c r="AV151" i="25"/>
  <c r="AV138" i="25"/>
  <c r="AV136" i="25"/>
  <c r="AV135" i="25"/>
  <c r="AV134" i="25"/>
  <c r="AV133" i="25"/>
  <c r="AV131" i="25"/>
  <c r="AV129" i="25"/>
  <c r="AV128" i="25"/>
  <c r="AV119" i="25"/>
  <c r="AV118" i="25"/>
  <c r="AV117" i="25"/>
  <c r="AV116" i="25"/>
  <c r="AV115" i="25"/>
  <c r="AV157" i="25"/>
  <c r="AV153" i="25"/>
  <c r="AV139" i="25"/>
  <c r="AV158" i="25"/>
  <c r="AV154" i="25"/>
  <c r="AV111" i="25"/>
  <c r="AV108" i="25"/>
  <c r="AV99" i="25"/>
  <c r="AV98" i="25"/>
  <c r="AV97" i="25"/>
  <c r="AV96" i="25"/>
  <c r="AV95" i="25"/>
  <c r="AV94" i="25"/>
  <c r="AV93" i="25"/>
  <c r="AV113" i="25"/>
  <c r="AV114" i="25"/>
  <c r="AV91" i="25"/>
  <c r="AV89" i="25"/>
  <c r="AV88" i="25"/>
  <c r="AV79" i="25"/>
  <c r="AV78" i="25"/>
  <c r="AV77" i="25"/>
  <c r="AV76" i="25"/>
  <c r="AV75" i="25"/>
  <c r="AV74" i="25"/>
  <c r="AV73" i="25"/>
  <c r="AV71" i="25"/>
  <c r="AV68" i="25"/>
  <c r="AV54" i="25"/>
  <c r="AV49" i="25"/>
  <c r="AV67" i="25" s="1"/>
  <c r="AV29" i="25"/>
  <c r="AV28" i="25"/>
  <c r="AV26" i="25"/>
  <c r="AV23" i="25"/>
  <c r="AV46" i="25"/>
  <c r="AV55" i="25"/>
  <c r="AV51" i="25"/>
  <c r="AV32" i="25"/>
  <c r="AV57" i="25"/>
  <c r="AV47" i="25"/>
  <c r="AV53" i="25"/>
  <c r="AV33" i="25"/>
  <c r="AV56" i="25"/>
  <c r="AV52" i="25"/>
  <c r="AV34" i="25"/>
  <c r="AV19" i="25"/>
  <c r="AV20" i="25"/>
  <c r="AU132" i="25"/>
  <c r="AU130" i="25"/>
  <c r="AU112" i="25"/>
  <c r="AU70" i="25"/>
  <c r="AU92" i="25"/>
  <c r="AU90" i="25"/>
  <c r="AU152" i="25"/>
  <c r="AU150" i="25"/>
  <c r="AU110" i="25"/>
  <c r="AU50" i="25"/>
  <c r="AU48" i="25"/>
  <c r="AU72" i="25"/>
  <c r="AU27" i="25"/>
  <c r="AU25" i="25"/>
  <c r="AT14" i="25"/>
  <c r="AT15" i="25" s="1"/>
  <c r="AU12" i="25"/>
  <c r="AU13" i="25"/>
  <c r="AV5" i="25"/>
  <c r="AV11" i="25" s="1"/>
  <c r="AU8" i="25"/>
  <c r="AV7" i="25"/>
  <c r="AV65" i="25"/>
  <c r="AV105" i="25"/>
  <c r="AV64" i="25"/>
  <c r="AV104" i="25"/>
  <c r="AV125" i="25"/>
  <c r="AV124" i="25"/>
  <c r="AV145" i="25"/>
  <c r="AV144" i="25"/>
  <c r="F149" i="25"/>
  <c r="AV18" i="25"/>
  <c r="AV2" i="25"/>
  <c r="AV3" i="25"/>
  <c r="AV143" i="25"/>
  <c r="AV63" i="25"/>
  <c r="AV43" i="25"/>
  <c r="AV41" i="25"/>
  <c r="AV103" i="25"/>
  <c r="AV123" i="25"/>
  <c r="AW4" i="25"/>
  <c r="AT101" i="25"/>
  <c r="AV83" i="25"/>
  <c r="AU42" i="25"/>
  <c r="AT141" i="25"/>
  <c r="AT59" i="25"/>
  <c r="AV38" i="25" l="1"/>
  <c r="AU37" i="25"/>
  <c r="AW22" i="25"/>
  <c r="AW38" i="25" s="1"/>
  <c r="AW21" i="25"/>
  <c r="AW159" i="25"/>
  <c r="AW158" i="25"/>
  <c r="AW157" i="25"/>
  <c r="AW156" i="25"/>
  <c r="AW155" i="25"/>
  <c r="AW154" i="25"/>
  <c r="AW153" i="25"/>
  <c r="AW151" i="25"/>
  <c r="AW149" i="25"/>
  <c r="AW139" i="25"/>
  <c r="AW138" i="25"/>
  <c r="AW137" i="25"/>
  <c r="AW136" i="25"/>
  <c r="AW135" i="25"/>
  <c r="AW134" i="25"/>
  <c r="AW133" i="25"/>
  <c r="AW131" i="25"/>
  <c r="AW129" i="25"/>
  <c r="AW128" i="25"/>
  <c r="AW119" i="25"/>
  <c r="AW118" i="25"/>
  <c r="AW117" i="25"/>
  <c r="AW116" i="25"/>
  <c r="AW113" i="25"/>
  <c r="AW115" i="25"/>
  <c r="AW114" i="25"/>
  <c r="AW111" i="25"/>
  <c r="AW108" i="25"/>
  <c r="AW99" i="25"/>
  <c r="AW98" i="25"/>
  <c r="AW97" i="25"/>
  <c r="AW96" i="25"/>
  <c r="AW95" i="25"/>
  <c r="AW94" i="25"/>
  <c r="AW93" i="25"/>
  <c r="AW68" i="25"/>
  <c r="AW91" i="25"/>
  <c r="AW88" i="25"/>
  <c r="AW78" i="25"/>
  <c r="AW76" i="25"/>
  <c r="AW74" i="25"/>
  <c r="AW71" i="25"/>
  <c r="AW89" i="25"/>
  <c r="AW79" i="25"/>
  <c r="AW77" i="25"/>
  <c r="AW75" i="25"/>
  <c r="AW73" i="25"/>
  <c r="AW57" i="25"/>
  <c r="AW56" i="25"/>
  <c r="AW55" i="25"/>
  <c r="AW54" i="25"/>
  <c r="AW53" i="25"/>
  <c r="AW52" i="25"/>
  <c r="AW51" i="25"/>
  <c r="AW49" i="25"/>
  <c r="AW67" i="25" s="1"/>
  <c r="AW47" i="25"/>
  <c r="AW34" i="25"/>
  <c r="AW33" i="25"/>
  <c r="AW29" i="25"/>
  <c r="AW28" i="25"/>
  <c r="AW26" i="25"/>
  <c r="AW23" i="25"/>
  <c r="AW32" i="25"/>
  <c r="AW46" i="25"/>
  <c r="I149" i="25"/>
  <c r="H149" i="25"/>
  <c r="J149" i="25"/>
  <c r="K149" i="25"/>
  <c r="L149" i="25"/>
  <c r="M149" i="25"/>
  <c r="N149" i="25"/>
  <c r="O149" i="25"/>
  <c r="P149" i="25"/>
  <c r="Q149" i="25"/>
  <c r="R149" i="25"/>
  <c r="S149" i="25"/>
  <c r="S150" i="25" s="1"/>
  <c r="T149" i="25"/>
  <c r="T150" i="25" s="1"/>
  <c r="U149" i="25"/>
  <c r="U150" i="25" s="1"/>
  <c r="V149" i="25"/>
  <c r="W149" i="25"/>
  <c r="X149" i="25"/>
  <c r="Y149" i="25"/>
  <c r="Z149" i="25"/>
  <c r="AA149" i="25"/>
  <c r="AB149" i="25"/>
  <c r="AC149" i="25"/>
  <c r="AD149" i="25"/>
  <c r="AE149" i="25"/>
  <c r="AF149" i="25"/>
  <c r="AG149" i="25"/>
  <c r="AH149" i="25"/>
  <c r="AI149" i="25"/>
  <c r="AJ149" i="25"/>
  <c r="AK149" i="25"/>
  <c r="AL149" i="25"/>
  <c r="AM149" i="25"/>
  <c r="AN149" i="25"/>
  <c r="AO149" i="25"/>
  <c r="AP149" i="25"/>
  <c r="AQ149" i="25"/>
  <c r="AR149" i="25"/>
  <c r="AS149" i="25"/>
  <c r="AT149" i="25"/>
  <c r="AU149" i="25"/>
  <c r="AV149" i="25"/>
  <c r="AW19" i="25"/>
  <c r="AW20" i="25"/>
  <c r="AV132" i="25"/>
  <c r="AV130" i="25"/>
  <c r="AV112" i="25"/>
  <c r="AV92" i="25"/>
  <c r="AV90" i="25"/>
  <c r="AV50" i="25"/>
  <c r="AV152" i="25"/>
  <c r="AV150" i="25"/>
  <c r="AV48" i="25"/>
  <c r="AV70" i="25"/>
  <c r="AV72" i="25"/>
  <c r="AV27" i="25"/>
  <c r="AV37" i="25" s="1"/>
  <c r="AV39" i="25" s="1"/>
  <c r="AV25" i="25"/>
  <c r="AV110" i="25"/>
  <c r="AU14" i="25"/>
  <c r="AU15" i="25" s="1"/>
  <c r="AV12" i="25"/>
  <c r="AV13" i="25"/>
  <c r="AW5" i="25"/>
  <c r="AW11" i="25" s="1"/>
  <c r="AW43" i="25"/>
  <c r="AV8" i="25"/>
  <c r="AW7" i="25"/>
  <c r="AW103" i="25"/>
  <c r="AX4" i="25"/>
  <c r="AW2" i="25"/>
  <c r="AW65" i="25"/>
  <c r="AW105" i="25"/>
  <c r="AW64" i="25"/>
  <c r="AW125" i="25"/>
  <c r="AW104" i="25"/>
  <c r="AW145" i="25"/>
  <c r="AW124" i="25"/>
  <c r="AW144" i="25"/>
  <c r="AW3" i="25"/>
  <c r="AW123" i="25"/>
  <c r="AW18" i="25"/>
  <c r="AV42" i="25"/>
  <c r="AW143" i="25"/>
  <c r="AW63" i="25"/>
  <c r="AW41" i="25"/>
  <c r="AU101" i="25"/>
  <c r="AW83" i="25"/>
  <c r="AU59" i="25"/>
  <c r="AU141" i="25"/>
  <c r="AU39" i="25" l="1"/>
  <c r="AX22" i="25"/>
  <c r="AX38" i="25" s="1"/>
  <c r="AX21" i="25"/>
  <c r="AX159" i="25"/>
  <c r="AX158" i="25"/>
  <c r="AX157" i="25"/>
  <c r="AX156" i="25"/>
  <c r="AX155" i="25"/>
  <c r="AX154" i="25"/>
  <c r="AX153" i="25"/>
  <c r="AX151" i="25"/>
  <c r="AX149" i="25"/>
  <c r="AX139" i="25"/>
  <c r="AX138" i="25"/>
  <c r="AX137" i="25"/>
  <c r="AX136" i="25"/>
  <c r="AX135" i="25"/>
  <c r="AX134" i="25"/>
  <c r="AX133" i="25"/>
  <c r="AX131" i="25"/>
  <c r="AX129" i="25"/>
  <c r="AX128" i="25"/>
  <c r="AX119" i="25"/>
  <c r="AX118" i="25"/>
  <c r="AX117" i="25"/>
  <c r="AX116" i="25"/>
  <c r="AX115" i="25"/>
  <c r="AX114" i="25"/>
  <c r="AX113" i="25"/>
  <c r="AX97" i="25"/>
  <c r="AX93" i="25"/>
  <c r="AX111" i="25"/>
  <c r="AX98" i="25"/>
  <c r="AX94" i="25"/>
  <c r="AX91" i="25"/>
  <c r="AX89" i="25"/>
  <c r="AX88" i="25"/>
  <c r="AX79" i="25"/>
  <c r="AX78" i="25"/>
  <c r="AX77" i="25"/>
  <c r="AX76" i="25"/>
  <c r="AX75" i="25"/>
  <c r="AX74" i="25"/>
  <c r="AX73" i="25"/>
  <c r="AX71" i="25"/>
  <c r="AX99" i="25"/>
  <c r="AX95" i="25"/>
  <c r="AX96" i="25"/>
  <c r="AX108" i="25"/>
  <c r="AX57" i="25"/>
  <c r="AX56" i="25"/>
  <c r="AX55" i="25"/>
  <c r="AX54" i="25"/>
  <c r="AX53" i="25"/>
  <c r="AX52" i="25"/>
  <c r="AX51" i="25"/>
  <c r="AX49" i="25"/>
  <c r="AX67" i="25" s="1"/>
  <c r="AX47" i="25"/>
  <c r="AX34" i="25"/>
  <c r="AX33" i="25"/>
  <c r="AX32" i="25"/>
  <c r="AX29" i="25"/>
  <c r="AX28" i="25"/>
  <c r="AX26" i="25"/>
  <c r="AX23" i="25"/>
  <c r="AX68" i="25"/>
  <c r="AX46" i="25"/>
  <c r="AW132" i="25"/>
  <c r="AW130" i="25"/>
  <c r="AW112" i="25"/>
  <c r="AW70" i="25"/>
  <c r="AW92" i="25"/>
  <c r="AW90" i="25"/>
  <c r="AW152" i="25"/>
  <c r="AW150" i="25"/>
  <c r="AW72" i="25"/>
  <c r="AW27" i="25"/>
  <c r="AW37" i="25" s="1"/>
  <c r="AW39" i="25" s="1"/>
  <c r="AW25" i="25"/>
  <c r="AW48" i="25"/>
  <c r="AW50" i="25"/>
  <c r="AW110" i="25"/>
  <c r="AX19" i="25"/>
  <c r="AX20" i="25"/>
  <c r="AV14" i="25"/>
  <c r="AV15" i="25" s="1"/>
  <c r="AX5" i="25"/>
  <c r="AX11" i="25" s="1"/>
  <c r="AW13" i="25"/>
  <c r="AW12" i="25"/>
  <c r="AX123" i="25"/>
  <c r="AY4" i="25"/>
  <c r="AX41" i="25"/>
  <c r="AX43" i="25"/>
  <c r="AX18" i="25"/>
  <c r="AX3" i="25"/>
  <c r="AX103" i="25"/>
  <c r="AX63" i="25"/>
  <c r="AX83" i="25"/>
  <c r="AX143" i="25"/>
  <c r="AX2" i="25"/>
  <c r="AW8" i="25"/>
  <c r="AX64" i="25"/>
  <c r="AX7" i="25"/>
  <c r="AX144" i="25"/>
  <c r="AX145" i="25"/>
  <c r="AX124" i="25"/>
  <c r="AX104" i="25"/>
  <c r="AX125" i="25"/>
  <c r="AX105" i="25"/>
  <c r="AX65" i="25"/>
  <c r="AV59" i="25"/>
  <c r="AW42" i="25"/>
  <c r="AV141" i="25"/>
  <c r="AV101" i="25"/>
  <c r="AY22" i="25" l="1"/>
  <c r="AY38" i="25" s="1"/>
  <c r="AY21" i="25"/>
  <c r="AY159" i="25"/>
  <c r="AY158" i="25"/>
  <c r="AY157" i="25"/>
  <c r="AY156" i="25"/>
  <c r="AY155" i="25"/>
  <c r="AY154" i="25"/>
  <c r="AY153" i="25"/>
  <c r="AY151" i="25"/>
  <c r="AY149" i="25"/>
  <c r="AY139" i="25"/>
  <c r="AY138" i="25"/>
  <c r="AY137" i="25"/>
  <c r="AY135" i="25"/>
  <c r="AY134" i="25"/>
  <c r="AY133" i="25"/>
  <c r="AY131" i="25"/>
  <c r="AY129" i="25"/>
  <c r="AY128" i="25"/>
  <c r="AY119" i="25"/>
  <c r="AY118" i="25"/>
  <c r="AY136" i="25"/>
  <c r="AY116" i="25"/>
  <c r="AY115" i="25"/>
  <c r="AY114" i="25"/>
  <c r="AY111" i="25"/>
  <c r="AY108" i="25"/>
  <c r="AY99" i="25"/>
  <c r="AY98" i="25"/>
  <c r="AY97" i="25"/>
  <c r="AY96" i="25"/>
  <c r="AY95" i="25"/>
  <c r="AY94" i="25"/>
  <c r="AY93" i="25"/>
  <c r="AY113" i="25"/>
  <c r="AY117" i="25"/>
  <c r="AY91" i="25"/>
  <c r="AY89" i="25"/>
  <c r="AY88" i="25"/>
  <c r="AY79" i="25"/>
  <c r="AY78" i="25"/>
  <c r="AY77" i="25"/>
  <c r="AY76" i="25"/>
  <c r="AY75" i="25"/>
  <c r="AY74" i="25"/>
  <c r="AY73" i="25"/>
  <c r="AY71" i="25"/>
  <c r="AY57" i="25"/>
  <c r="AY56" i="25"/>
  <c r="AY55" i="25"/>
  <c r="AY54" i="25"/>
  <c r="AY53" i="25"/>
  <c r="AY52" i="25"/>
  <c r="AY51" i="25"/>
  <c r="AY49" i="25"/>
  <c r="AY67" i="25" s="1"/>
  <c r="AY47" i="25"/>
  <c r="AY34" i="25"/>
  <c r="AY68" i="25"/>
  <c r="AY23" i="25"/>
  <c r="AY32" i="25"/>
  <c r="AY26" i="25"/>
  <c r="AY46" i="25"/>
  <c r="AY28" i="25"/>
  <c r="AY33" i="25"/>
  <c r="AY29" i="25"/>
  <c r="AY19" i="25"/>
  <c r="AY20" i="25"/>
  <c r="AX92" i="25"/>
  <c r="AX90" i="25"/>
  <c r="AX152" i="25"/>
  <c r="AX150" i="25"/>
  <c r="AX110" i="25"/>
  <c r="AX132" i="25"/>
  <c r="AX130" i="25"/>
  <c r="AX112" i="25"/>
  <c r="AX48" i="25"/>
  <c r="AX25" i="25"/>
  <c r="AX50" i="25"/>
  <c r="AX72" i="25"/>
  <c r="AX27" i="25"/>
  <c r="AX37" i="25" s="1"/>
  <c r="AX39" i="25" s="1"/>
  <c r="AX70" i="25"/>
  <c r="AX12" i="25"/>
  <c r="AX13" i="25"/>
  <c r="AW14" i="25"/>
  <c r="AW15" i="25" s="1"/>
  <c r="AY145" i="25"/>
  <c r="AY5" i="25"/>
  <c r="AY11" i="25" s="1"/>
  <c r="AY103" i="25"/>
  <c r="AY3" i="25"/>
  <c r="AY143" i="25"/>
  <c r="AY41" i="25"/>
  <c r="AY43" i="25"/>
  <c r="AY123" i="25"/>
  <c r="AY63" i="25"/>
  <c r="AZ4" i="25"/>
  <c r="AY83" i="25"/>
  <c r="AY125" i="25"/>
  <c r="AY104" i="25"/>
  <c r="AY105" i="25"/>
  <c r="AY64" i="25"/>
  <c r="AY2" i="25"/>
  <c r="AY18" i="25"/>
  <c r="AY144" i="25"/>
  <c r="AY65" i="25"/>
  <c r="AY124" i="25"/>
  <c r="AY7" i="25"/>
  <c r="AX8" i="25"/>
  <c r="AX42" i="25"/>
  <c r="AW59" i="25"/>
  <c r="AW101" i="25"/>
  <c r="AW141" i="25"/>
  <c r="AZ22" i="25" l="1"/>
  <c r="AZ38" i="25" s="1"/>
  <c r="AZ21" i="25"/>
  <c r="AZ159" i="25"/>
  <c r="AZ158" i="25"/>
  <c r="AZ157" i="25"/>
  <c r="AZ156" i="25"/>
  <c r="AZ155" i="25"/>
  <c r="AZ154" i="25"/>
  <c r="AZ153" i="25"/>
  <c r="AZ151" i="25"/>
  <c r="AZ149" i="25"/>
  <c r="AZ139" i="25"/>
  <c r="AZ138" i="25"/>
  <c r="AZ137" i="25"/>
  <c r="AZ136" i="25"/>
  <c r="AZ135" i="25"/>
  <c r="AZ134" i="25"/>
  <c r="AZ133" i="25"/>
  <c r="AZ131" i="25"/>
  <c r="AZ129" i="25"/>
  <c r="AZ128" i="25"/>
  <c r="AZ119" i="25"/>
  <c r="AZ118" i="25"/>
  <c r="AZ115" i="25"/>
  <c r="AZ114" i="25"/>
  <c r="AZ111" i="25"/>
  <c r="AZ108" i="25"/>
  <c r="AZ99" i="25"/>
  <c r="AZ98" i="25"/>
  <c r="AZ97" i="25"/>
  <c r="AZ96" i="25"/>
  <c r="AZ95" i="25"/>
  <c r="AZ94" i="25"/>
  <c r="AZ93" i="25"/>
  <c r="AZ117" i="25"/>
  <c r="AZ116" i="25"/>
  <c r="AZ91" i="25"/>
  <c r="AZ89" i="25"/>
  <c r="AZ88" i="25"/>
  <c r="AZ79" i="25"/>
  <c r="AZ78" i="25"/>
  <c r="AZ77" i="25"/>
  <c r="AZ76" i="25"/>
  <c r="AZ75" i="25"/>
  <c r="AZ74" i="25"/>
  <c r="AZ73" i="25"/>
  <c r="AZ71" i="25"/>
  <c r="AZ113" i="25"/>
  <c r="AZ57" i="25"/>
  <c r="AZ56" i="25"/>
  <c r="AZ55" i="25"/>
  <c r="AZ54" i="25"/>
  <c r="AZ53" i="25"/>
  <c r="AZ52" i="25"/>
  <c r="AZ51" i="25"/>
  <c r="AZ49" i="25"/>
  <c r="AZ67" i="25" s="1"/>
  <c r="AZ47" i="25"/>
  <c r="AZ34" i="25"/>
  <c r="AZ68" i="25"/>
  <c r="AZ32" i="25"/>
  <c r="AZ33" i="25"/>
  <c r="AZ29" i="25"/>
  <c r="AZ28" i="25"/>
  <c r="AZ26" i="25"/>
  <c r="AZ23" i="25"/>
  <c r="AZ46" i="25"/>
  <c r="AZ104" i="25"/>
  <c r="AZ19" i="25"/>
  <c r="AZ20" i="25"/>
  <c r="AY92" i="25"/>
  <c r="AY90" i="25"/>
  <c r="AY152" i="25"/>
  <c r="AY150" i="25"/>
  <c r="AY110" i="25"/>
  <c r="AY132" i="25"/>
  <c r="AY130" i="25"/>
  <c r="AY112" i="25"/>
  <c r="AY50" i="25"/>
  <c r="AY27" i="25"/>
  <c r="AY37" i="25" s="1"/>
  <c r="AY39" i="25" s="1"/>
  <c r="AY48" i="25"/>
  <c r="AY25" i="25"/>
  <c r="AY70" i="25"/>
  <c r="AY72" i="25"/>
  <c r="AX14" i="25"/>
  <c r="AX15" i="25" s="1"/>
  <c r="AZ5" i="25"/>
  <c r="AZ11" i="25" s="1"/>
  <c r="AZ7" i="25"/>
  <c r="AZ63" i="25"/>
  <c r="AZ3" i="25"/>
  <c r="AZ103" i="25"/>
  <c r="AZ43" i="25"/>
  <c r="AZ124" i="25"/>
  <c r="AZ145" i="25"/>
  <c r="AZ41" i="25"/>
  <c r="AZ83" i="25"/>
  <c r="AZ125" i="25"/>
  <c r="AZ123" i="25"/>
  <c r="AZ2" i="25"/>
  <c r="AZ64" i="25"/>
  <c r="AZ105" i="25"/>
  <c r="AZ143" i="25"/>
  <c r="AZ65" i="25"/>
  <c r="BA4" i="25"/>
  <c r="AZ18" i="25"/>
  <c r="AZ144" i="25"/>
  <c r="AY8" i="25"/>
  <c r="AY42" i="25"/>
  <c r="AY12" i="25"/>
  <c r="AY13" i="25"/>
  <c r="AX59" i="25"/>
  <c r="AX141" i="25"/>
  <c r="AX101" i="25"/>
  <c r="BA22" i="25" l="1"/>
  <c r="BA38" i="25" s="1"/>
  <c r="BA21" i="25"/>
  <c r="BA159" i="25"/>
  <c r="BA158" i="25"/>
  <c r="BA157" i="25"/>
  <c r="BA156" i="25"/>
  <c r="BA155" i="25"/>
  <c r="BA154" i="25"/>
  <c r="BA153" i="25"/>
  <c r="BA151" i="25"/>
  <c r="BA149" i="25"/>
  <c r="BA139" i="25"/>
  <c r="BA138" i="25"/>
  <c r="BA137" i="25"/>
  <c r="BA136" i="25"/>
  <c r="BA135" i="25"/>
  <c r="BA134" i="25"/>
  <c r="BA133" i="25"/>
  <c r="BA131" i="25"/>
  <c r="BA129" i="25"/>
  <c r="BA128" i="25"/>
  <c r="BA119" i="25"/>
  <c r="BA118" i="25"/>
  <c r="BA117" i="25"/>
  <c r="BA116" i="25"/>
  <c r="BA115" i="25"/>
  <c r="BA114" i="25"/>
  <c r="BA111" i="25"/>
  <c r="BA108" i="25"/>
  <c r="BA99" i="25"/>
  <c r="BA98" i="25"/>
  <c r="BA97" i="25"/>
  <c r="BA96" i="25"/>
  <c r="BA95" i="25"/>
  <c r="BA94" i="25"/>
  <c r="BA93" i="25"/>
  <c r="BA113" i="25"/>
  <c r="BA91" i="25"/>
  <c r="BA89" i="25"/>
  <c r="BA88" i="25"/>
  <c r="BA79" i="25"/>
  <c r="BA78" i="25"/>
  <c r="BA77" i="25"/>
  <c r="BA76" i="25"/>
  <c r="BA75" i="25"/>
  <c r="BA74" i="25"/>
  <c r="BA73" i="25"/>
  <c r="BA71" i="25"/>
  <c r="BA57" i="25"/>
  <c r="BA56" i="25"/>
  <c r="BA55" i="25"/>
  <c r="BA54" i="25"/>
  <c r="BA53" i="25"/>
  <c r="BA52" i="25"/>
  <c r="BA51" i="25"/>
  <c r="BA49" i="25"/>
  <c r="BA67" i="25" s="1"/>
  <c r="BA47" i="25"/>
  <c r="BA34" i="25"/>
  <c r="BA33" i="25"/>
  <c r="BA32" i="25"/>
  <c r="BA68" i="25"/>
  <c r="BA46" i="25"/>
  <c r="BA29" i="25"/>
  <c r="BA28" i="25"/>
  <c r="BA26" i="25"/>
  <c r="BA23" i="25"/>
  <c r="AZ152" i="25"/>
  <c r="AZ150" i="25"/>
  <c r="AZ72" i="25"/>
  <c r="AZ132" i="25"/>
  <c r="AZ130" i="25"/>
  <c r="AZ112" i="25"/>
  <c r="AZ92" i="25"/>
  <c r="AZ90" i="25"/>
  <c r="AZ70" i="25"/>
  <c r="AZ50" i="25"/>
  <c r="AZ25" i="25"/>
  <c r="AZ48" i="25"/>
  <c r="AZ110" i="25"/>
  <c r="AZ27" i="25"/>
  <c r="AZ37" i="25" s="1"/>
  <c r="AZ39" i="25" s="1"/>
  <c r="BA143" i="25"/>
  <c r="BA19" i="25"/>
  <c r="BA20" i="25"/>
  <c r="BA124" i="25"/>
  <c r="AZ42" i="25"/>
  <c r="AZ8" i="25"/>
  <c r="AZ12" i="25"/>
  <c r="AZ13" i="25"/>
  <c r="BA5" i="25"/>
  <c r="BA11" i="25" s="1"/>
  <c r="BA43" i="25"/>
  <c r="BA144" i="25"/>
  <c r="BA3" i="25"/>
  <c r="BA8" i="25" s="1"/>
  <c r="BA18" i="25"/>
  <c r="BA83" i="25"/>
  <c r="BA145" i="25"/>
  <c r="BA123" i="25"/>
  <c r="BB4" i="25"/>
  <c r="BA125" i="25"/>
  <c r="BA7" i="25"/>
  <c r="BA63" i="25"/>
  <c r="BA104" i="25"/>
  <c r="BA41" i="25"/>
  <c r="BA64" i="25"/>
  <c r="BA103" i="25"/>
  <c r="BA105" i="25"/>
  <c r="BA2" i="25"/>
  <c r="BA65" i="25"/>
  <c r="AY59" i="25"/>
  <c r="AY14" i="25"/>
  <c r="AY15" i="25" s="1"/>
  <c r="AY101" i="25"/>
  <c r="AY141" i="25"/>
  <c r="BB22" i="25" l="1"/>
  <c r="BB38" i="25" s="1"/>
  <c r="BB21" i="25"/>
  <c r="BB159" i="25"/>
  <c r="BB158" i="25"/>
  <c r="BB157" i="25"/>
  <c r="BB156" i="25"/>
  <c r="BB155" i="25"/>
  <c r="BB154" i="25"/>
  <c r="BB153" i="25"/>
  <c r="BB151" i="25"/>
  <c r="BB149" i="25"/>
  <c r="BB139" i="25"/>
  <c r="BB138" i="25"/>
  <c r="BB137" i="25"/>
  <c r="BB136" i="25"/>
  <c r="BB133" i="25"/>
  <c r="BB119" i="25"/>
  <c r="BB114" i="25"/>
  <c r="BB115" i="25"/>
  <c r="BB134" i="25"/>
  <c r="BB128" i="25"/>
  <c r="BB111" i="25"/>
  <c r="BB108" i="25"/>
  <c r="BB99" i="25"/>
  <c r="BB98" i="25"/>
  <c r="BB97" i="25"/>
  <c r="BB96" i="25"/>
  <c r="BB95" i="25"/>
  <c r="BB94" i="25"/>
  <c r="BB93" i="25"/>
  <c r="BB135" i="25"/>
  <c r="BB129" i="25"/>
  <c r="BB117" i="25"/>
  <c r="BB113" i="25"/>
  <c r="BB116" i="25"/>
  <c r="BB91" i="25"/>
  <c r="BB88" i="25"/>
  <c r="BB78" i="25"/>
  <c r="BB76" i="25"/>
  <c r="BB74" i="25"/>
  <c r="BB71" i="25"/>
  <c r="BB131" i="25"/>
  <c r="BB57" i="25"/>
  <c r="BB56" i="25"/>
  <c r="BB55" i="25"/>
  <c r="BB54" i="25"/>
  <c r="BB53" i="25"/>
  <c r="BB52" i="25"/>
  <c r="BB51" i="25"/>
  <c r="BB49" i="25"/>
  <c r="BB67" i="25" s="1"/>
  <c r="BB47" i="25"/>
  <c r="BB34" i="25"/>
  <c r="BB33" i="25"/>
  <c r="BB118" i="25"/>
  <c r="BB68" i="25"/>
  <c r="BB89" i="25"/>
  <c r="BB79" i="25"/>
  <c r="BB77" i="25"/>
  <c r="BB75" i="25"/>
  <c r="BB73" i="25"/>
  <c r="BB46" i="25"/>
  <c r="BB32" i="25"/>
  <c r="BB29" i="25"/>
  <c r="BB28" i="25"/>
  <c r="BB26" i="25"/>
  <c r="BB23" i="25"/>
  <c r="BA132" i="25"/>
  <c r="BA130" i="25"/>
  <c r="BA112" i="25"/>
  <c r="BA92" i="25"/>
  <c r="BA90" i="25"/>
  <c r="BA70" i="25"/>
  <c r="BA152" i="25"/>
  <c r="BA150" i="25"/>
  <c r="BA50" i="25"/>
  <c r="BA25" i="25"/>
  <c r="BA27" i="25"/>
  <c r="BA37" i="25" s="1"/>
  <c r="BA39" i="25" s="1"/>
  <c r="BA72" i="25"/>
  <c r="BA48" i="25"/>
  <c r="BA110" i="25"/>
  <c r="BB123" i="25"/>
  <c r="BB19" i="25"/>
  <c r="BB143" i="25"/>
  <c r="BB43" i="25"/>
  <c r="AZ101" i="25"/>
  <c r="AZ59" i="25"/>
  <c r="AZ141" i="25"/>
  <c r="BB103" i="25"/>
  <c r="BB2" i="25"/>
  <c r="BB3" i="25"/>
  <c r="BB8" i="25" s="1"/>
  <c r="BA12" i="25"/>
  <c r="BB63" i="25"/>
  <c r="AZ14" i="25"/>
  <c r="AZ15" i="25" s="1"/>
  <c r="BC4" i="25"/>
  <c r="BB18" i="25"/>
  <c r="BB41" i="25"/>
  <c r="BA13" i="25"/>
  <c r="BB5" i="25"/>
  <c r="BB11" i="25" s="1"/>
  <c r="BA42" i="25"/>
  <c r="BB105" i="25"/>
  <c r="BB64" i="25"/>
  <c r="BB83" i="25"/>
  <c r="BB20" i="25"/>
  <c r="BB144" i="25"/>
  <c r="BB104" i="25"/>
  <c r="BB145" i="25"/>
  <c r="BB65" i="25"/>
  <c r="BB124" i="25"/>
  <c r="BB125" i="25"/>
  <c r="BB7" i="25"/>
  <c r="BC21" i="25" l="1"/>
  <c r="BC123" i="25"/>
  <c r="BC22" i="25"/>
  <c r="BB42" i="25"/>
  <c r="BC159" i="25"/>
  <c r="BC158" i="25"/>
  <c r="BC157" i="25"/>
  <c r="BC156" i="25"/>
  <c r="BC155" i="25"/>
  <c r="BC154" i="25"/>
  <c r="BC153" i="25"/>
  <c r="BC151" i="25"/>
  <c r="BC149" i="25"/>
  <c r="BC139" i="25"/>
  <c r="BC138" i="25"/>
  <c r="BC137" i="25"/>
  <c r="BC136" i="25"/>
  <c r="BC135" i="25"/>
  <c r="BC134" i="25"/>
  <c r="BC133" i="25"/>
  <c r="BC131" i="25"/>
  <c r="BC129" i="25"/>
  <c r="BC128" i="25"/>
  <c r="BC119" i="25"/>
  <c r="BC118" i="25"/>
  <c r="BC117" i="25"/>
  <c r="BC116" i="25"/>
  <c r="BC115" i="25"/>
  <c r="BC114" i="25"/>
  <c r="BC113" i="25"/>
  <c r="BC111" i="25"/>
  <c r="BC108" i="25"/>
  <c r="BC99" i="25"/>
  <c r="BC98" i="25"/>
  <c r="BC97" i="25"/>
  <c r="BC96" i="25"/>
  <c r="BC95" i="25"/>
  <c r="BC94" i="25"/>
  <c r="BC93" i="25"/>
  <c r="BC91" i="25"/>
  <c r="BC89" i="25"/>
  <c r="BC88" i="25"/>
  <c r="BC79" i="25"/>
  <c r="BC78" i="25"/>
  <c r="BC77" i="25"/>
  <c r="BC76" i="25"/>
  <c r="BC75" i="25"/>
  <c r="BC74" i="25"/>
  <c r="BC73" i="25"/>
  <c r="BC71" i="25"/>
  <c r="BC68" i="25"/>
  <c r="BC57" i="25"/>
  <c r="BC56" i="25"/>
  <c r="BC55" i="25"/>
  <c r="BC54" i="25"/>
  <c r="BC53" i="25"/>
  <c r="BC52" i="25"/>
  <c r="BC51" i="25"/>
  <c r="BC49" i="25"/>
  <c r="BC67" i="25" s="1"/>
  <c r="BC47" i="25"/>
  <c r="BC46" i="25"/>
  <c r="BC29" i="25"/>
  <c r="BC28" i="25"/>
  <c r="BC26" i="25"/>
  <c r="BC23" i="25"/>
  <c r="BC33" i="25"/>
  <c r="BC34" i="25"/>
  <c r="BC32" i="25"/>
  <c r="BC64" i="25"/>
  <c r="BC19" i="25"/>
  <c r="BB132" i="25"/>
  <c r="BB130" i="25"/>
  <c r="BB112" i="25"/>
  <c r="BB110" i="25"/>
  <c r="BB92" i="25"/>
  <c r="BB90" i="25"/>
  <c r="BB152" i="25"/>
  <c r="BB150" i="25"/>
  <c r="BB70" i="25"/>
  <c r="BB72" i="25"/>
  <c r="BB50" i="25"/>
  <c r="BB25" i="25"/>
  <c r="BB48" i="25"/>
  <c r="BB27" i="25"/>
  <c r="BB37" i="25" s="1"/>
  <c r="BB39" i="25" s="1"/>
  <c r="BC3" i="25"/>
  <c r="BC2" i="25"/>
  <c r="BC125" i="25"/>
  <c r="BC105" i="25"/>
  <c r="BC7" i="25"/>
  <c r="BA14" i="25"/>
  <c r="BA15" i="25" s="1"/>
  <c r="BC43" i="25"/>
  <c r="BC104" i="25"/>
  <c r="BB12" i="25"/>
  <c r="BC41" i="25"/>
  <c r="BC143" i="25"/>
  <c r="BC83" i="25"/>
  <c r="BC65" i="25"/>
  <c r="BC144" i="25"/>
  <c r="BC20" i="25"/>
  <c r="BC103" i="25"/>
  <c r="BC63" i="25"/>
  <c r="BC124" i="25"/>
  <c r="BC18" i="25"/>
  <c r="BC145" i="25"/>
  <c r="BC5" i="25"/>
  <c r="BC11" i="25" s="1"/>
  <c r="BA141" i="25"/>
  <c r="BB13" i="25"/>
  <c r="BA101" i="25"/>
  <c r="BA59" i="25"/>
  <c r="BF65" i="25"/>
  <c r="BG93" i="25"/>
  <c r="BF159" i="25"/>
  <c r="BF77" i="25"/>
  <c r="BG128" i="25"/>
  <c r="BG156" i="25"/>
  <c r="BG129" i="25"/>
  <c r="BG138" i="25"/>
  <c r="BG42" i="25"/>
  <c r="L25" i="35" s="1"/>
  <c r="BG53" i="25"/>
  <c r="BE156" i="25"/>
  <c r="BE118" i="25"/>
  <c r="BE114" i="25"/>
  <c r="BE154" i="25"/>
  <c r="BE32" i="25"/>
  <c r="J19" i="35" s="1"/>
  <c r="BC38" i="25" l="1"/>
  <c r="BE146" i="25"/>
  <c r="BF146" i="25"/>
  <c r="BH146" i="25"/>
  <c r="BG146" i="25"/>
  <c r="BE126" i="25"/>
  <c r="BF126" i="25"/>
  <c r="BH126" i="25"/>
  <c r="BG126" i="25"/>
  <c r="BF71" i="25"/>
  <c r="BE106" i="25"/>
  <c r="BG86" i="25"/>
  <c r="BG106" i="25"/>
  <c r="BH106" i="25"/>
  <c r="BF106" i="25"/>
  <c r="BH86" i="25"/>
  <c r="BF86" i="25"/>
  <c r="BE86" i="25"/>
  <c r="BG57" i="25"/>
  <c r="L38" i="35" s="1"/>
  <c r="BG55" i="25"/>
  <c r="L36" i="35" s="1"/>
  <c r="BE99" i="25"/>
  <c r="BG14" i="25"/>
  <c r="BC42" i="25"/>
  <c r="BE139" i="25"/>
  <c r="BE117" i="25"/>
  <c r="BG76" i="25"/>
  <c r="BF33" i="25"/>
  <c r="K20" i="35" s="1"/>
  <c r="BG153" i="25"/>
  <c r="BG43" i="25"/>
  <c r="L26" i="35" s="1"/>
  <c r="BG108" i="25"/>
  <c r="BF89" i="25"/>
  <c r="BE13" i="25"/>
  <c r="BE74" i="25"/>
  <c r="BF78" i="25"/>
  <c r="BG99" i="25"/>
  <c r="BE128" i="25"/>
  <c r="BF32" i="25"/>
  <c r="K19" i="35" s="1"/>
  <c r="BE155" i="25"/>
  <c r="BE115" i="25"/>
  <c r="R15" i="35" s="1"/>
  <c r="R38" i="35" s="1"/>
  <c r="BG68" i="25"/>
  <c r="Y8" i="35" s="1"/>
  <c r="Y31" i="35" s="1"/>
  <c r="BF74" i="25"/>
  <c r="BF153" i="25"/>
  <c r="BE153" i="25"/>
  <c r="T13" i="35" s="1"/>
  <c r="T36" i="35" s="1"/>
  <c r="BE95" i="25"/>
  <c r="BE91" i="25"/>
  <c r="BG25" i="25"/>
  <c r="L12" i="35" s="1"/>
  <c r="BH43" i="25"/>
  <c r="M26" i="35" s="1"/>
  <c r="BG159" i="25"/>
  <c r="BF156" i="25"/>
  <c r="BE9" i="25"/>
  <c r="BE116" i="25"/>
  <c r="BF117" i="25"/>
  <c r="BF95" i="25"/>
  <c r="BE157" i="25"/>
  <c r="BE134" i="25"/>
  <c r="BE138" i="25"/>
  <c r="S18" i="35" s="1"/>
  <c r="S41" i="35" s="1"/>
  <c r="BF128" i="25"/>
  <c r="BG149" i="25"/>
  <c r="BF136" i="25"/>
  <c r="BF108" i="25"/>
  <c r="BF133" i="25"/>
  <c r="BE89" i="25"/>
  <c r="BG71" i="25"/>
  <c r="BF48" i="25"/>
  <c r="K29" i="35" s="1"/>
  <c r="BE129" i="25"/>
  <c r="BF154" i="25"/>
  <c r="X13" i="35" s="1"/>
  <c r="X36" i="35" s="1"/>
  <c r="BE137" i="25"/>
  <c r="BE46" i="25"/>
  <c r="J27" i="35" s="1"/>
  <c r="BG158" i="25"/>
  <c r="AB18" i="35" s="1"/>
  <c r="AB41" i="35" s="1"/>
  <c r="BE135" i="25"/>
  <c r="BC8" i="25"/>
  <c r="BE8" i="25" s="1"/>
  <c r="BE68" i="25"/>
  <c r="BF149" i="25"/>
  <c r="BE78" i="25"/>
  <c r="BE33" i="25"/>
  <c r="J20" i="35" s="1"/>
  <c r="BF57" i="25"/>
  <c r="K38" i="35" s="1"/>
  <c r="BG135" i="25"/>
  <c r="BF115" i="25"/>
  <c r="BF139" i="25"/>
  <c r="BF116" i="25"/>
  <c r="BF64" i="25"/>
  <c r="BE10" i="25"/>
  <c r="BE44" i="25"/>
  <c r="BE66" i="25"/>
  <c r="BH66" i="25"/>
  <c r="BG66" i="25"/>
  <c r="BF66" i="25"/>
  <c r="BF9" i="25"/>
  <c r="BE104" i="25"/>
  <c r="BF44" i="25"/>
  <c r="BG44" i="25"/>
  <c r="BH44" i="25"/>
  <c r="BE65" i="25"/>
  <c r="BG26" i="25"/>
  <c r="L13" i="35" s="1"/>
  <c r="BE93" i="25"/>
  <c r="BF10" i="25"/>
  <c r="BH76" i="25"/>
  <c r="BG21" i="25"/>
  <c r="L8" i="35" s="1"/>
  <c r="BE21" i="25"/>
  <c r="J8" i="35" s="1"/>
  <c r="BH21" i="25"/>
  <c r="M8" i="35" s="1"/>
  <c r="BF21" i="25"/>
  <c r="K8" i="35" s="1"/>
  <c r="T15" i="35"/>
  <c r="T38" i="35" s="1"/>
  <c r="R14" i="35"/>
  <c r="R37" i="35" s="1"/>
  <c r="V16" i="35"/>
  <c r="V39" i="35" s="1"/>
  <c r="T16" i="35"/>
  <c r="T39" i="35" s="1"/>
  <c r="BE71" i="25"/>
  <c r="BF67" i="25"/>
  <c r="BH67" i="25"/>
  <c r="BG67" i="25"/>
  <c r="BE67" i="25"/>
  <c r="S17" i="35"/>
  <c r="S40" i="35" s="1"/>
  <c r="BF42" i="25"/>
  <c r="K25" i="35" s="1"/>
  <c r="BG134" i="25"/>
  <c r="AA14" i="35" s="1"/>
  <c r="AA37" i="35" s="1"/>
  <c r="BG154" i="25"/>
  <c r="BE133" i="25"/>
  <c r="BH98" i="25"/>
  <c r="BF96" i="25"/>
  <c r="BE97" i="25"/>
  <c r="BG65" i="25"/>
  <c r="Y7" i="35" s="1"/>
  <c r="Y30" i="35" s="1"/>
  <c r="BE105" i="25"/>
  <c r="BG10" i="25"/>
  <c r="BG15" i="25"/>
  <c r="BE49" i="25"/>
  <c r="J30" i="35" s="1"/>
  <c r="BF137" i="25"/>
  <c r="BF114" i="25"/>
  <c r="V14" i="35" s="1"/>
  <c r="V37" i="35" s="1"/>
  <c r="BG73" i="25"/>
  <c r="BF73" i="25"/>
  <c r="BE113" i="25"/>
  <c r="BE51" i="25"/>
  <c r="J32" i="35" s="1"/>
  <c r="BE73" i="25"/>
  <c r="BE158" i="25"/>
  <c r="T17" i="35" s="1"/>
  <c r="T40" i="35" s="1"/>
  <c r="BF46" i="25"/>
  <c r="K27" i="35" s="1"/>
  <c r="BG47" i="25"/>
  <c r="L28" i="35" s="1"/>
  <c r="BF158" i="25"/>
  <c r="X18" i="35" s="1"/>
  <c r="X41" i="35" s="1"/>
  <c r="BF29" i="25"/>
  <c r="BF68" i="25"/>
  <c r="BG32" i="25"/>
  <c r="L19" i="35" s="1"/>
  <c r="BG157" i="25"/>
  <c r="BG74" i="25"/>
  <c r="BF129" i="25"/>
  <c r="BG137" i="25"/>
  <c r="AA17" i="35" s="1"/>
  <c r="AA40" i="35" s="1"/>
  <c r="BF113" i="25"/>
  <c r="BE56" i="25"/>
  <c r="J37" i="35" s="1"/>
  <c r="BG95" i="25"/>
  <c r="BF93" i="25"/>
  <c r="BG98" i="25"/>
  <c r="BG105" i="25"/>
  <c r="BG13" i="25"/>
  <c r="BH9" i="25"/>
  <c r="BE15" i="25"/>
  <c r="BE130" i="25"/>
  <c r="BE22" i="25"/>
  <c r="J9" i="35" s="1"/>
  <c r="BG45" i="25"/>
  <c r="BF45" i="25"/>
  <c r="BH22" i="25"/>
  <c r="M9" i="35" s="1"/>
  <c r="BE45" i="25"/>
  <c r="BF22" i="25"/>
  <c r="K9" i="35" s="1"/>
  <c r="BG22" i="25"/>
  <c r="L9" i="35" s="1"/>
  <c r="BH45" i="25"/>
  <c r="BE159" i="25"/>
  <c r="BE29" i="25"/>
  <c r="BH155" i="25"/>
  <c r="BE57" i="25"/>
  <c r="J38" i="35" s="1"/>
  <c r="BG113" i="25"/>
  <c r="BF135" i="25"/>
  <c r="BG56" i="25"/>
  <c r="L37" i="35" s="1"/>
  <c r="BG46" i="25"/>
  <c r="L27" i="35" s="1"/>
  <c r="BF157" i="25"/>
  <c r="BG117" i="25"/>
  <c r="BG77" i="25"/>
  <c r="BG52" i="25"/>
  <c r="L33" i="35" s="1"/>
  <c r="BG116" i="25"/>
  <c r="Z16" i="35" s="1"/>
  <c r="Z39" i="35" s="1"/>
  <c r="BF52" i="25"/>
  <c r="K33" i="35" s="1"/>
  <c r="BG136" i="25"/>
  <c r="BE108" i="25"/>
  <c r="BF88" i="25"/>
  <c r="BF99" i="25"/>
  <c r="BE98" i="25"/>
  <c r="BE64" i="25"/>
  <c r="BG9" i="25"/>
  <c r="BG8" i="25"/>
  <c r="BF26" i="25"/>
  <c r="K13" i="35" s="1"/>
  <c r="BF111" i="25"/>
  <c r="BG48" i="25"/>
  <c r="L29" i="35" s="1"/>
  <c r="BE75" i="25"/>
  <c r="BE52" i="25"/>
  <c r="J33" i="35" s="1"/>
  <c r="BE136" i="25"/>
  <c r="BE149" i="25"/>
  <c r="BG78" i="25"/>
  <c r="BG133" i="25"/>
  <c r="BG118" i="25"/>
  <c r="BF56" i="25"/>
  <c r="K37" i="35" s="1"/>
  <c r="BF138" i="25"/>
  <c r="BG75" i="25"/>
  <c r="BG114" i="25"/>
  <c r="BG115" i="25"/>
  <c r="Z15" i="35" s="1"/>
  <c r="Z38" i="35" s="1"/>
  <c r="BF76" i="25"/>
  <c r="BG54" i="25"/>
  <c r="L35" i="35" s="1"/>
  <c r="BE43" i="25"/>
  <c r="J26" i="35" s="1"/>
  <c r="BE76" i="25"/>
  <c r="Q16" i="35" s="1"/>
  <c r="Q39" i="35" s="1"/>
  <c r="BF98" i="25"/>
  <c r="BF97" i="25"/>
  <c r="BG104" i="25"/>
  <c r="Z6" i="35" s="1"/>
  <c r="BG64" i="25"/>
  <c r="BF15" i="25"/>
  <c r="BF13" i="25"/>
  <c r="BG49" i="25"/>
  <c r="L30" i="35" s="1"/>
  <c r="BG27" i="25"/>
  <c r="L14" i="35" s="1"/>
  <c r="BH153" i="25"/>
  <c r="BG155" i="25"/>
  <c r="AB15" i="35" s="1"/>
  <c r="AB38" i="35" s="1"/>
  <c r="BF51" i="25"/>
  <c r="K32" i="35" s="1"/>
  <c r="BG139" i="25"/>
  <c r="BF75" i="25"/>
  <c r="BG33" i="25"/>
  <c r="L20" i="35" s="1"/>
  <c r="BF118" i="25"/>
  <c r="V17" i="35" s="1"/>
  <c r="V40" i="35" s="1"/>
  <c r="BF155" i="25"/>
  <c r="X14" i="35" s="1"/>
  <c r="X37" i="35" s="1"/>
  <c r="BG29" i="25"/>
  <c r="BF43" i="25"/>
  <c r="K26" i="35" s="1"/>
  <c r="BG51" i="25"/>
  <c r="L32" i="35" s="1"/>
  <c r="BF134" i="25"/>
  <c r="BE77" i="25"/>
  <c r="BG97" i="25"/>
  <c r="BF94" i="25"/>
  <c r="BF105" i="25"/>
  <c r="BF104" i="25"/>
  <c r="BH10" i="25"/>
  <c r="BF8" i="25"/>
  <c r="BF49" i="25"/>
  <c r="K30" i="35" s="1"/>
  <c r="BE27" i="25"/>
  <c r="J14" i="35" s="1"/>
  <c r="BG91" i="25"/>
  <c r="BH105" i="25"/>
  <c r="BH104" i="25"/>
  <c r="BH64" i="25"/>
  <c r="T14" i="35"/>
  <c r="T37" i="35" s="1"/>
  <c r="S8" i="35"/>
  <c r="S31" i="35" s="1"/>
  <c r="AA8" i="35"/>
  <c r="AA31" i="35" s="1"/>
  <c r="S10" i="35"/>
  <c r="S33" i="35" s="1"/>
  <c r="AA15" i="35"/>
  <c r="AA38" i="35" s="1"/>
  <c r="K16" i="35"/>
  <c r="S14" i="35"/>
  <c r="S37" i="35" s="1"/>
  <c r="Q14" i="35"/>
  <c r="Q37" i="35" s="1"/>
  <c r="L34" i="35"/>
  <c r="V15" i="35"/>
  <c r="V38" i="35" s="1"/>
  <c r="AB13" i="35"/>
  <c r="AB36" i="35" s="1"/>
  <c r="U14" i="35"/>
  <c r="U37" i="35" s="1"/>
  <c r="Q8" i="35"/>
  <c r="Q31" i="35" s="1"/>
  <c r="J16" i="35"/>
  <c r="W15" i="35"/>
  <c r="W38" i="35" s="1"/>
  <c r="S9" i="35"/>
  <c r="S32" i="35" s="1"/>
  <c r="Q15" i="35"/>
  <c r="Q38" i="35" s="1"/>
  <c r="L16" i="35"/>
  <c r="AB19" i="35"/>
  <c r="AB42" i="35" s="1"/>
  <c r="W19" i="35"/>
  <c r="W42" i="35" s="1"/>
  <c r="X19" i="35"/>
  <c r="X42" i="35" s="1"/>
  <c r="U17" i="35"/>
  <c r="U40" i="35" s="1"/>
  <c r="T19" i="35"/>
  <c r="T42" i="35" s="1"/>
  <c r="Y17" i="35"/>
  <c r="Y40" i="35" s="1"/>
  <c r="Q17" i="35"/>
  <c r="Q40" i="35" s="1"/>
  <c r="Q13" i="35"/>
  <c r="Q36" i="35" s="1"/>
  <c r="R17" i="35"/>
  <c r="R40" i="35" s="1"/>
  <c r="U6" i="35"/>
  <c r="V6" i="35"/>
  <c r="Q7" i="35"/>
  <c r="Q30" i="35" s="1"/>
  <c r="AC16" i="35"/>
  <c r="AC39" i="35" s="1"/>
  <c r="R16" i="35"/>
  <c r="R39" i="35" s="1"/>
  <c r="R6" i="35"/>
  <c r="AB16" i="35"/>
  <c r="AB39" i="35" s="1"/>
  <c r="AC6" i="35"/>
  <c r="Y13" i="35"/>
  <c r="Y36" i="35" s="1"/>
  <c r="Z17" i="35"/>
  <c r="Z40" i="35" s="1"/>
  <c r="U7" i="35"/>
  <c r="U30" i="35" s="1"/>
  <c r="U11" i="35"/>
  <c r="U34" i="35" s="1"/>
  <c r="BH111" i="25"/>
  <c r="BC132" i="25"/>
  <c r="BH132" i="25" s="1"/>
  <c r="BC130" i="25"/>
  <c r="BC112" i="25"/>
  <c r="BH112" i="25" s="1"/>
  <c r="BC110" i="25"/>
  <c r="BC92" i="25"/>
  <c r="BH92" i="25" s="1"/>
  <c r="BC90" i="25"/>
  <c r="BC70" i="25"/>
  <c r="BC152" i="25"/>
  <c r="BH152" i="25" s="1"/>
  <c r="BC150" i="25"/>
  <c r="BC48" i="25"/>
  <c r="BC50" i="25"/>
  <c r="BH50" i="25" s="1"/>
  <c r="M31" i="35" s="1"/>
  <c r="BC72" i="25"/>
  <c r="BH72" i="25" s="1"/>
  <c r="AC12" i="35" s="1"/>
  <c r="AC35" i="35" s="1"/>
  <c r="BC27" i="25"/>
  <c r="BC25" i="25"/>
  <c r="BH25" i="25" s="1"/>
  <c r="M12" i="35" s="1"/>
  <c r="BH53" i="25"/>
  <c r="BE152" i="25"/>
  <c r="BF152" i="25"/>
  <c r="BG152" i="25"/>
  <c r="BE132" i="25"/>
  <c r="BH77" i="25"/>
  <c r="BF91" i="25"/>
  <c r="BG132" i="25"/>
  <c r="BF132" i="25"/>
  <c r="BH47" i="25"/>
  <c r="M28" i="35" s="1"/>
  <c r="BG50" i="25"/>
  <c r="BF72" i="25"/>
  <c r="U12" i="35" s="1"/>
  <c r="U35" i="35" s="1"/>
  <c r="BE150" i="25"/>
  <c r="BE50" i="25"/>
  <c r="BG72" i="25"/>
  <c r="Y12" i="35" s="1"/>
  <c r="Y35" i="35" s="1"/>
  <c r="BF150" i="25"/>
  <c r="BF50" i="25"/>
  <c r="K31" i="35" s="1"/>
  <c r="BE72" i="25"/>
  <c r="Q12" i="35" s="1"/>
  <c r="Q35" i="35" s="1"/>
  <c r="BG70" i="25"/>
  <c r="Y10" i="35" s="1"/>
  <c r="Y33" i="35" s="1"/>
  <c r="BE90" i="25"/>
  <c r="BF27" i="25"/>
  <c r="K14" i="35" s="1"/>
  <c r="BH65" i="25"/>
  <c r="BG112" i="25"/>
  <c r="BE112" i="25"/>
  <c r="BF112" i="25"/>
  <c r="BF92" i="25"/>
  <c r="BE92" i="25"/>
  <c r="BG92" i="25"/>
  <c r="BH149" i="25"/>
  <c r="BH108" i="25"/>
  <c r="BH97" i="25"/>
  <c r="BB14" i="25"/>
  <c r="BB15" i="25" s="1"/>
  <c r="BH137" i="25"/>
  <c r="BB59" i="25"/>
  <c r="BB141" i="25"/>
  <c r="BB101" i="25"/>
  <c r="BH135" i="25"/>
  <c r="BH56" i="25"/>
  <c r="M37" i="35" s="1"/>
  <c r="BH133" i="25"/>
  <c r="BC12" i="25"/>
  <c r="BE26" i="25"/>
  <c r="J13" i="35" s="1"/>
  <c r="BC13" i="25"/>
  <c r="BH13" i="25" s="1"/>
  <c r="BH71" i="25"/>
  <c r="BE111" i="25"/>
  <c r="R11" i="35" s="1"/>
  <c r="R34" i="35" s="1"/>
  <c r="BG111" i="25"/>
  <c r="BH49" i="25"/>
  <c r="M30" i="35" s="1"/>
  <c r="BH91" i="25"/>
  <c r="BH26" i="25"/>
  <c r="M13" i="35" s="1"/>
  <c r="BE14" i="25"/>
  <c r="BF14" i="25"/>
  <c r="BE96" i="25"/>
  <c r="BG96" i="25"/>
  <c r="BH95" i="25"/>
  <c r="BH96" i="25"/>
  <c r="BG89" i="25"/>
  <c r="BE88" i="25"/>
  <c r="BG88" i="25"/>
  <c r="BH88" i="25"/>
  <c r="BE94" i="25"/>
  <c r="BG94" i="25"/>
  <c r="BH99" i="25"/>
  <c r="BH94" i="25"/>
  <c r="BH93" i="25"/>
  <c r="BH89" i="25"/>
  <c r="BH54" i="25"/>
  <c r="M35" i="35" s="1"/>
  <c r="BE42" i="25"/>
  <c r="BE55" i="25"/>
  <c r="BH42" i="25"/>
  <c r="BH33" i="25"/>
  <c r="M20" i="35" s="1"/>
  <c r="BH74" i="25"/>
  <c r="BH73" i="25"/>
  <c r="BH117" i="25"/>
  <c r="BH55" i="25"/>
  <c r="M36" i="35" s="1"/>
  <c r="BH57" i="25"/>
  <c r="M38" i="35" s="1"/>
  <c r="BH118" i="25"/>
  <c r="BH68" i="25"/>
  <c r="BH138" i="25"/>
  <c r="BH158" i="25"/>
  <c r="BH46" i="25"/>
  <c r="M27" i="35" s="1"/>
  <c r="BH113" i="25"/>
  <c r="BH154" i="25"/>
  <c r="BH134" i="25"/>
  <c r="BH157" i="25"/>
  <c r="BH128" i="25"/>
  <c r="BH78" i="25"/>
  <c r="BH29" i="25"/>
  <c r="BH139" i="25"/>
  <c r="BH115" i="25"/>
  <c r="BH156" i="25"/>
  <c r="BH52" i="25"/>
  <c r="M33" i="35" s="1"/>
  <c r="BH136" i="25"/>
  <c r="BH116" i="25"/>
  <c r="BH75" i="25"/>
  <c r="BH129" i="25"/>
  <c r="BH51" i="25"/>
  <c r="BH32" i="25"/>
  <c r="M19" i="35" s="1"/>
  <c r="BH114" i="25"/>
  <c r="BH159" i="25"/>
  <c r="BE38" i="25" l="1"/>
  <c r="C8" i="35" s="1"/>
  <c r="BF38" i="25"/>
  <c r="D8" i="35" s="1"/>
  <c r="BG38" i="25"/>
  <c r="E8" i="35" s="1"/>
  <c r="BH38" i="25"/>
  <c r="F8" i="35" s="1"/>
  <c r="BC37" i="25"/>
  <c r="S19" i="35"/>
  <c r="S42" i="35" s="1"/>
  <c r="Y15" i="35"/>
  <c r="Y38" i="35" s="1"/>
  <c r="AB17" i="35"/>
  <c r="AB40" i="35" s="1"/>
  <c r="X17" i="35"/>
  <c r="X40" i="35" s="1"/>
  <c r="U18" i="35"/>
  <c r="U41" i="35" s="1"/>
  <c r="U16" i="35"/>
  <c r="U39" i="35" s="1"/>
  <c r="Y18" i="35"/>
  <c r="Y41" i="35" s="1"/>
  <c r="AA16" i="35"/>
  <c r="AA39" i="35" s="1"/>
  <c r="V13" i="35"/>
  <c r="V36" i="35" s="1"/>
  <c r="Y16" i="35"/>
  <c r="Y39" i="35" s="1"/>
  <c r="Y11" i="35"/>
  <c r="Y34" i="35" s="1"/>
  <c r="U15" i="35"/>
  <c r="U38" i="35" s="1"/>
  <c r="W14" i="35"/>
  <c r="W37" i="35" s="1"/>
  <c r="BH8" i="25"/>
  <c r="S13" i="35"/>
  <c r="S36" i="35" s="1"/>
  <c r="Q18" i="35"/>
  <c r="Q41" i="35" s="1"/>
  <c r="W18" i="35"/>
  <c r="W41" i="35" s="1"/>
  <c r="AA13" i="35"/>
  <c r="AA36" i="35" s="1"/>
  <c r="BH27" i="25"/>
  <c r="M14" i="35" s="1"/>
  <c r="AD7" i="35"/>
  <c r="AD30" i="35" s="1"/>
  <c r="Z7" i="35"/>
  <c r="Z30" i="35" s="1"/>
  <c r="X15" i="35"/>
  <c r="X38" i="35" s="1"/>
  <c r="AD6" i="35"/>
  <c r="AD29" i="35" s="1"/>
  <c r="R13" i="35"/>
  <c r="R36" i="35" s="1"/>
  <c r="Q11" i="35"/>
  <c r="Q34" i="35" s="1"/>
  <c r="Y14" i="35"/>
  <c r="Y37" i="35" s="1"/>
  <c r="V7" i="35"/>
  <c r="V30" i="35" s="1"/>
  <c r="R7" i="35"/>
  <c r="R30" i="35" s="1"/>
  <c r="U8" i="35"/>
  <c r="U31" i="35" s="1"/>
  <c r="T9" i="35"/>
  <c r="T32" i="35" s="1"/>
  <c r="AF17" i="35"/>
  <c r="AF40" i="35" s="1"/>
  <c r="Z13" i="35"/>
  <c r="Z36" i="35" s="1"/>
  <c r="W17" i="35"/>
  <c r="W40" i="35" s="1"/>
  <c r="AF18" i="35"/>
  <c r="AF41" i="35" s="1"/>
  <c r="AE18" i="35"/>
  <c r="AE41" i="35" s="1"/>
  <c r="S23" i="35"/>
  <c r="AB11" i="35"/>
  <c r="AB34" i="35" s="1"/>
  <c r="X11" i="35"/>
  <c r="X34" i="35" s="1"/>
  <c r="Z14" i="35"/>
  <c r="Z37" i="35" s="1"/>
  <c r="T18" i="35"/>
  <c r="T41" i="35" s="1"/>
  <c r="X16" i="35"/>
  <c r="X39" i="35" s="1"/>
  <c r="AE17" i="35"/>
  <c r="AE40" i="35" s="1"/>
  <c r="T11" i="35"/>
  <c r="T34" i="35" s="1"/>
  <c r="AF15" i="35"/>
  <c r="AF38" i="35" s="1"/>
  <c r="AB14" i="35"/>
  <c r="AB37" i="35" s="1"/>
  <c r="AA18" i="35"/>
  <c r="AA41" i="35" s="1"/>
  <c r="AF16" i="35"/>
  <c r="AF39" i="35" s="1"/>
  <c r="W11" i="35"/>
  <c r="W34" i="35" s="1"/>
  <c r="X9" i="35"/>
  <c r="X32" i="35" s="1"/>
  <c r="AF13" i="35"/>
  <c r="AF36" i="35" s="1"/>
  <c r="AD15" i="35"/>
  <c r="AD38" i="35" s="1"/>
  <c r="AD13" i="35"/>
  <c r="AD36" i="35" s="1"/>
  <c r="AE13" i="35"/>
  <c r="AE36" i="35" s="1"/>
  <c r="AA11" i="35"/>
  <c r="AA34" i="35" s="1"/>
  <c r="AE11" i="35"/>
  <c r="AE34" i="35" s="1"/>
  <c r="W13" i="35"/>
  <c r="W36" i="35" s="1"/>
  <c r="S11" i="35"/>
  <c r="S34" i="35" s="1"/>
  <c r="AF11" i="35"/>
  <c r="AF34" i="35" s="1"/>
  <c r="W8" i="35"/>
  <c r="W31" i="35" s="1"/>
  <c r="V11" i="35"/>
  <c r="V34" i="35" s="1"/>
  <c r="W16" i="35"/>
  <c r="W39" i="35" s="1"/>
  <c r="AE15" i="35"/>
  <c r="AE38" i="35" s="1"/>
  <c r="S15" i="35"/>
  <c r="S38" i="35" s="1"/>
  <c r="Y6" i="35"/>
  <c r="Y29" i="35" s="1"/>
  <c r="Q6" i="35"/>
  <c r="Q29" i="35" s="1"/>
  <c r="U13" i="35"/>
  <c r="U36" i="35" s="1"/>
  <c r="AA19" i="35"/>
  <c r="AA42" i="35" s="1"/>
  <c r="S16" i="35"/>
  <c r="S39" i="35" s="1"/>
  <c r="BC101" i="25"/>
  <c r="BH101" i="25" s="1"/>
  <c r="AB12" i="35"/>
  <c r="AB35" i="35" s="1"/>
  <c r="J25" i="35"/>
  <c r="L31" i="35"/>
  <c r="L39" i="35" s="1"/>
  <c r="E20" i="35" s="1"/>
  <c r="AF12" i="35"/>
  <c r="AF35" i="35" s="1"/>
  <c r="X12" i="35"/>
  <c r="X35" i="35" s="1"/>
  <c r="M16" i="35"/>
  <c r="AC14" i="35"/>
  <c r="AC37" i="35" s="1"/>
  <c r="X10" i="35"/>
  <c r="X33" i="35" s="1"/>
  <c r="W12" i="35"/>
  <c r="W35" i="35" s="1"/>
  <c r="T12" i="35"/>
  <c r="T35" i="35" s="1"/>
  <c r="AD14" i="35"/>
  <c r="AD37" i="35" s="1"/>
  <c r="AC15" i="35"/>
  <c r="AC38" i="35" s="1"/>
  <c r="AA12" i="35"/>
  <c r="AA35" i="35" s="1"/>
  <c r="M34" i="35"/>
  <c r="AF14" i="35"/>
  <c r="AF37" i="35" s="1"/>
  <c r="AE8" i="35"/>
  <c r="AE31" i="35" s="1"/>
  <c r="AC8" i="35"/>
  <c r="AC31" i="35" s="1"/>
  <c r="M25" i="35"/>
  <c r="J31" i="35"/>
  <c r="M32" i="35"/>
  <c r="T10" i="35"/>
  <c r="T33" i="35" s="1"/>
  <c r="AE12" i="35"/>
  <c r="AE35" i="35" s="1"/>
  <c r="AE14" i="35"/>
  <c r="AE37" i="35" s="1"/>
  <c r="S12" i="35"/>
  <c r="AC17" i="35"/>
  <c r="AC40" i="35" s="1"/>
  <c r="AF19" i="35"/>
  <c r="AF42" i="35" s="1"/>
  <c r="AE16" i="35"/>
  <c r="AE39" i="35" s="1"/>
  <c r="AE19" i="35"/>
  <c r="AE42" i="35" s="1"/>
  <c r="BE4" i="25"/>
  <c r="J36" i="35"/>
  <c r="AC11" i="35"/>
  <c r="AC34" i="35" s="1"/>
  <c r="Z29" i="35"/>
  <c r="AD17" i="35"/>
  <c r="AD40" i="35" s="1"/>
  <c r="R12" i="35"/>
  <c r="R35" i="35" s="1"/>
  <c r="R29" i="35"/>
  <c r="V12" i="35"/>
  <c r="V35" i="35" s="1"/>
  <c r="AC13" i="35"/>
  <c r="AC36" i="35" s="1"/>
  <c r="Z12" i="35"/>
  <c r="Z35" i="35" s="1"/>
  <c r="V29" i="35"/>
  <c r="AD11" i="35"/>
  <c r="AD34" i="35" s="1"/>
  <c r="AD12" i="35"/>
  <c r="AD35" i="35" s="1"/>
  <c r="AC18" i="35"/>
  <c r="AC41" i="35" s="1"/>
  <c r="AC7" i="35"/>
  <c r="AC30" i="35" s="1"/>
  <c r="U29" i="35"/>
  <c r="AD16" i="35"/>
  <c r="AD39" i="35" s="1"/>
  <c r="Z11" i="35"/>
  <c r="Z34" i="35" s="1"/>
  <c r="AC29" i="35"/>
  <c r="BC141" i="25"/>
  <c r="BH141" i="25" s="1"/>
  <c r="BG59" i="25"/>
  <c r="BC59" i="25"/>
  <c r="BF130" i="25"/>
  <c r="W9" i="35" s="1"/>
  <c r="W32" i="35" s="1"/>
  <c r="BG130" i="25"/>
  <c r="BH130" i="25"/>
  <c r="BG110" i="25"/>
  <c r="BH110" i="25"/>
  <c r="BF90" i="25"/>
  <c r="BG90" i="25"/>
  <c r="BH90" i="25"/>
  <c r="BG150" i="25"/>
  <c r="BH150" i="25"/>
  <c r="BH70" i="25"/>
  <c r="AC10" i="35" s="1"/>
  <c r="AC33" i="35" s="1"/>
  <c r="BC14" i="25"/>
  <c r="BH48" i="25"/>
  <c r="BE141" i="25"/>
  <c r="BF141" i="25"/>
  <c r="BG141" i="25"/>
  <c r="BE101" i="25"/>
  <c r="BF101" i="25"/>
  <c r="BG101" i="25"/>
  <c r="BC39" i="25" l="1"/>
  <c r="BE37" i="25"/>
  <c r="BF37" i="25"/>
  <c r="BG37" i="25"/>
  <c r="BH37" i="25"/>
  <c r="AF9" i="35"/>
  <c r="AF32" i="35" s="1"/>
  <c r="AE9" i="35"/>
  <c r="AE32" i="35" s="1"/>
  <c r="AA9" i="35"/>
  <c r="AA32" i="35" s="1"/>
  <c r="AB9" i="35"/>
  <c r="AB32" i="35" s="1"/>
  <c r="S35" i="35"/>
  <c r="S43" i="35" s="1"/>
  <c r="S20" i="35"/>
  <c r="J44" i="35" s="1"/>
  <c r="BH59" i="25"/>
  <c r="M29" i="35"/>
  <c r="M39" i="35" s="1"/>
  <c r="F20" i="35" s="1"/>
  <c r="AE10" i="35"/>
  <c r="AE33" i="35" s="1"/>
  <c r="AF10" i="35"/>
  <c r="AF33" i="35" s="1"/>
  <c r="AA10" i="35"/>
  <c r="AB10" i="35"/>
  <c r="AB33" i="35" s="1"/>
  <c r="W10" i="35"/>
  <c r="AD10" i="35"/>
  <c r="AD33" i="35" s="1"/>
  <c r="Z10" i="35"/>
  <c r="Z33" i="35" s="1"/>
  <c r="BH14" i="25"/>
  <c r="BC15" i="25"/>
  <c r="BH15" i="25" s="1"/>
  <c r="C24" i="8"/>
  <c r="C20" i="7"/>
  <c r="C17" i="4"/>
  <c r="G55" i="25" s="1"/>
  <c r="C46" i="1"/>
  <c r="F148" i="25"/>
  <c r="BE39" i="25" l="1"/>
  <c r="BF39" i="25"/>
  <c r="BG39" i="25"/>
  <c r="BH39" i="25"/>
  <c r="AE43" i="35"/>
  <c r="J50" i="35"/>
  <c r="C17" i="35" s="1"/>
  <c r="AE20" i="35"/>
  <c r="M44" i="35" s="1"/>
  <c r="W33" i="35"/>
  <c r="W43" i="35" s="1"/>
  <c r="W20" i="35"/>
  <c r="K44" i="35" s="1"/>
  <c r="S22" i="35"/>
  <c r="AA33" i="35"/>
  <c r="AA43" i="35" s="1"/>
  <c r="AA20" i="35"/>
  <c r="L44" i="35" s="1"/>
  <c r="T55" i="25"/>
  <c r="U55" i="25"/>
  <c r="V55" i="25"/>
  <c r="W55" i="25"/>
  <c r="X55" i="25"/>
  <c r="Y55" i="25"/>
  <c r="Z55" i="25"/>
  <c r="AA55" i="25"/>
  <c r="AB55" i="25"/>
  <c r="AC55" i="25"/>
  <c r="AD55" i="25"/>
  <c r="AE55" i="25"/>
  <c r="F161" i="25"/>
  <c r="H148" i="25"/>
  <c r="H161" i="25" s="1"/>
  <c r="I148" i="25"/>
  <c r="I161" i="25" s="1"/>
  <c r="J148" i="25"/>
  <c r="J161" i="25" s="1"/>
  <c r="K148" i="25"/>
  <c r="K161" i="25" s="1"/>
  <c r="L148" i="25"/>
  <c r="L161" i="25" s="1"/>
  <c r="M148" i="25"/>
  <c r="M161" i="25" s="1"/>
  <c r="N148" i="25"/>
  <c r="N161" i="25" s="1"/>
  <c r="O148" i="25"/>
  <c r="O161" i="25" s="1"/>
  <c r="P148" i="25"/>
  <c r="P161" i="25" s="1"/>
  <c r="Q148" i="25"/>
  <c r="Q161" i="25" s="1"/>
  <c r="R148" i="25"/>
  <c r="R161" i="25" s="1"/>
  <c r="S148" i="25"/>
  <c r="S161" i="25" s="1"/>
  <c r="T148" i="25"/>
  <c r="U148" i="25"/>
  <c r="U161" i="25" s="1"/>
  <c r="V148" i="25"/>
  <c r="V161" i="25" s="1"/>
  <c r="W148" i="25"/>
  <c r="W161" i="25" s="1"/>
  <c r="X148" i="25"/>
  <c r="X161" i="25" s="1"/>
  <c r="Y148" i="25"/>
  <c r="Y161" i="25" s="1"/>
  <c r="Z148" i="25"/>
  <c r="AA148" i="25"/>
  <c r="AA161" i="25" s="1"/>
  <c r="AB148" i="25"/>
  <c r="AB161" i="25" s="1"/>
  <c r="AC148" i="25"/>
  <c r="AC161" i="25" s="1"/>
  <c r="AD148" i="25"/>
  <c r="AD161" i="25" s="1"/>
  <c r="AE148" i="25"/>
  <c r="AE161" i="25" s="1"/>
  <c r="AF148" i="25"/>
  <c r="AG148" i="25"/>
  <c r="AG161" i="25" s="1"/>
  <c r="AH148" i="25"/>
  <c r="AH161" i="25" s="1"/>
  <c r="AI148" i="25"/>
  <c r="AI161" i="25" s="1"/>
  <c r="AJ148" i="25"/>
  <c r="AJ161" i="25" s="1"/>
  <c r="AK148" i="25"/>
  <c r="AK161" i="25" s="1"/>
  <c r="AL148" i="25"/>
  <c r="AL161" i="25" s="1"/>
  <c r="AM148" i="25"/>
  <c r="AM161" i="25" s="1"/>
  <c r="AN148" i="25"/>
  <c r="AN161" i="25" s="1"/>
  <c r="AO148" i="25"/>
  <c r="AO161" i="25" s="1"/>
  <c r="AP148" i="25"/>
  <c r="AP161" i="25" s="1"/>
  <c r="AQ148" i="25"/>
  <c r="AQ161" i="25" s="1"/>
  <c r="AR148" i="25"/>
  <c r="AS148" i="25"/>
  <c r="AS161" i="25" s="1"/>
  <c r="AT148" i="25"/>
  <c r="AT161" i="25" s="1"/>
  <c r="AU148" i="25"/>
  <c r="AU161" i="25" s="1"/>
  <c r="AV148" i="25"/>
  <c r="AV161" i="25" s="1"/>
  <c r="AW148" i="25"/>
  <c r="AW161" i="25" s="1"/>
  <c r="AX148" i="25"/>
  <c r="AX161" i="25" s="1"/>
  <c r="AY148" i="25"/>
  <c r="AY161" i="25" s="1"/>
  <c r="AZ148" i="25"/>
  <c r="AZ161" i="25" s="1"/>
  <c r="BA148" i="25"/>
  <c r="BA161" i="25" s="1"/>
  <c r="BB148" i="25"/>
  <c r="BB161" i="25" s="1"/>
  <c r="BC148" i="25"/>
  <c r="Z161" i="25"/>
  <c r="G53" i="25"/>
  <c r="G54" i="25"/>
  <c r="G47" i="25"/>
  <c r="M50" i="35" l="1"/>
  <c r="L50" i="35"/>
  <c r="K50" i="35"/>
  <c r="AE22" i="35"/>
  <c r="AA22" i="35"/>
  <c r="W22" i="35"/>
  <c r="BF55" i="25"/>
  <c r="T54" i="25"/>
  <c r="U54" i="25"/>
  <c r="V54" i="25"/>
  <c r="W54" i="25"/>
  <c r="X54" i="25"/>
  <c r="Y54" i="25"/>
  <c r="Z54" i="25"/>
  <c r="AA54" i="25"/>
  <c r="AB54" i="25"/>
  <c r="AC54" i="25"/>
  <c r="AD54" i="25"/>
  <c r="AE54" i="25"/>
  <c r="T53" i="25"/>
  <c r="U53" i="25"/>
  <c r="V53" i="25"/>
  <c r="W53" i="25"/>
  <c r="X53" i="25"/>
  <c r="Y53" i="25"/>
  <c r="Z53" i="25"/>
  <c r="AA53" i="25"/>
  <c r="AB53" i="25"/>
  <c r="AC53" i="25"/>
  <c r="AD53" i="25"/>
  <c r="AE53" i="25"/>
  <c r="T47" i="25"/>
  <c r="U47" i="25"/>
  <c r="V47" i="25"/>
  <c r="W47" i="25"/>
  <c r="X47" i="25"/>
  <c r="Y47" i="25"/>
  <c r="Z47" i="25"/>
  <c r="AA47" i="25"/>
  <c r="AB47" i="25"/>
  <c r="AC47" i="25"/>
  <c r="AC59" i="25" s="1"/>
  <c r="AD47" i="25"/>
  <c r="AE47" i="25"/>
  <c r="BE161" i="25"/>
  <c r="BE148" i="25"/>
  <c r="BC161" i="25"/>
  <c r="AR161" i="25"/>
  <c r="BH148" i="25"/>
  <c r="AF161" i="25"/>
  <c r="BG161" i="25" s="1"/>
  <c r="BG148" i="25"/>
  <c r="T161" i="25"/>
  <c r="BF161" i="25" s="1"/>
  <c r="BF148" i="25"/>
  <c r="AB59" i="25" l="1"/>
  <c r="AD59" i="25"/>
  <c r="V59" i="25"/>
  <c r="U59" i="25"/>
  <c r="Y59" i="25"/>
  <c r="X59" i="25"/>
  <c r="AA59" i="25"/>
  <c r="Z59" i="25"/>
  <c r="K36" i="35"/>
  <c r="X8" i="35"/>
  <c r="T8" i="35"/>
  <c r="AB8" i="35"/>
  <c r="AF8" i="35"/>
  <c r="BF53" i="25"/>
  <c r="AE59" i="25"/>
  <c r="W59" i="25"/>
  <c r="T59" i="25"/>
  <c r="BF47" i="25"/>
  <c r="K28" i="35" s="1"/>
  <c r="BF54" i="25"/>
  <c r="BE48" i="25"/>
  <c r="J29" i="35" s="1"/>
  <c r="N59" i="25"/>
  <c r="BH161" i="25"/>
  <c r="O59" i="25"/>
  <c r="R59" i="25"/>
  <c r="Q59" i="25"/>
  <c r="M59" i="25"/>
  <c r="P59" i="25"/>
  <c r="I59" i="25"/>
  <c r="H59" i="25"/>
  <c r="J59" i="25"/>
  <c r="K59" i="25"/>
  <c r="BE54" i="25"/>
  <c r="L59" i="25"/>
  <c r="BE53" i="25"/>
  <c r="BE47" i="25"/>
  <c r="J28" i="35" s="1"/>
  <c r="J34" i="35" l="1"/>
  <c r="K34" i="35"/>
  <c r="K35" i="35"/>
  <c r="J35" i="35"/>
  <c r="AF31" i="35"/>
  <c r="AF43" i="35" s="1"/>
  <c r="AF20" i="35"/>
  <c r="M45" i="35" s="1"/>
  <c r="AB31" i="35"/>
  <c r="AB43" i="35" s="1"/>
  <c r="AB20" i="35"/>
  <c r="L45" i="35" s="1"/>
  <c r="T31" i="35"/>
  <c r="T43" i="35" s="1"/>
  <c r="T20" i="35"/>
  <c r="J45" i="35" s="1"/>
  <c r="X31" i="35"/>
  <c r="X43" i="35" s="1"/>
  <c r="X20" i="35"/>
  <c r="K45" i="35" s="1"/>
  <c r="BF59" i="25"/>
  <c r="S59" i="25"/>
  <c r="BE59" i="25"/>
  <c r="E22" i="1"/>
  <c r="I24" i="1"/>
  <c r="K51" i="35" l="1"/>
  <c r="L51" i="35"/>
  <c r="M51" i="35"/>
  <c r="J51" i="35"/>
  <c r="C18" i="35" s="1"/>
  <c r="J39" i="35"/>
  <c r="C20" i="35" s="1"/>
  <c r="K39" i="35"/>
  <c r="D20" i="35" s="1"/>
  <c r="X22" i="35"/>
  <c r="AB22" i="35"/>
  <c r="AF22" i="35"/>
  <c r="T22" i="35"/>
  <c r="G20" i="1"/>
  <c r="G61" i="1" s="1"/>
  <c r="G22" i="1"/>
  <c r="G18" i="1"/>
  <c r="K24" i="1" l="1"/>
  <c r="F16" i="25"/>
  <c r="K18" i="1"/>
  <c r="C62" i="1" s="1"/>
  <c r="K17" i="1"/>
  <c r="C61" i="1" s="1"/>
  <c r="K22" i="1"/>
  <c r="K23" i="1"/>
  <c r="H16" i="25" l="1"/>
  <c r="I16" i="25"/>
  <c r="J16" i="25"/>
  <c r="K16" i="25"/>
  <c r="L16" i="25"/>
  <c r="M16" i="25"/>
  <c r="N16" i="25"/>
  <c r="O16" i="25"/>
  <c r="P16" i="25"/>
  <c r="Q16" i="25"/>
  <c r="R16" i="25"/>
  <c r="V16" i="25"/>
  <c r="W16" i="25"/>
  <c r="X16" i="25"/>
  <c r="Y16" i="25"/>
  <c r="Z16" i="25"/>
  <c r="AA16" i="25"/>
  <c r="AB16" i="25"/>
  <c r="AC16" i="25"/>
  <c r="AD16" i="25"/>
  <c r="AE16" i="25"/>
  <c r="AF16" i="25"/>
  <c r="AG16" i="25"/>
  <c r="AH16" i="25"/>
  <c r="AI16" i="25"/>
  <c r="AJ16" i="25"/>
  <c r="AK16" i="25"/>
  <c r="AL16" i="25"/>
  <c r="AM16" i="25"/>
  <c r="AN16" i="25"/>
  <c r="AP16" i="25"/>
  <c r="AO16" i="25"/>
  <c r="AQ16" i="25"/>
  <c r="AR16" i="25"/>
  <c r="AS16" i="25"/>
  <c r="AT16" i="25"/>
  <c r="AU16" i="25"/>
  <c r="AV16" i="25"/>
  <c r="AX16" i="25"/>
  <c r="AW16" i="25"/>
  <c r="BA16" i="25"/>
  <c r="AZ16" i="25"/>
  <c r="AY16" i="25"/>
  <c r="BB16" i="25"/>
  <c r="BC16" i="25"/>
  <c r="C54" i="1"/>
  <c r="C55" i="1" s="1"/>
  <c r="C65" i="1"/>
  <c r="F69" i="25" s="1"/>
  <c r="H69" i="25" l="1"/>
  <c r="I69" i="25"/>
  <c r="J69" i="25"/>
  <c r="K69" i="25"/>
  <c r="L69" i="25"/>
  <c r="M69" i="25"/>
  <c r="N69" i="25"/>
  <c r="O69" i="25"/>
  <c r="P69" i="25"/>
  <c r="Q69" i="25"/>
  <c r="R69" i="25"/>
  <c r="S69" i="25"/>
  <c r="T69" i="25"/>
  <c r="U69" i="25"/>
  <c r="V69" i="25"/>
  <c r="W69" i="25"/>
  <c r="X69" i="25"/>
  <c r="Y69" i="25"/>
  <c r="Z69" i="25"/>
  <c r="AA69" i="25"/>
  <c r="AB69" i="25"/>
  <c r="AC69" i="25"/>
  <c r="AD69" i="25"/>
  <c r="AE69" i="25"/>
  <c r="AF69" i="25"/>
  <c r="AG69" i="25"/>
  <c r="AH69" i="25"/>
  <c r="AI69" i="25"/>
  <c r="AJ69" i="25"/>
  <c r="AK69" i="25"/>
  <c r="AL69" i="25"/>
  <c r="AM69" i="25"/>
  <c r="AN69" i="25"/>
  <c r="AO69" i="25"/>
  <c r="AP69" i="25"/>
  <c r="AQ69" i="25"/>
  <c r="AR69" i="25"/>
  <c r="AS69" i="25"/>
  <c r="AT69" i="25"/>
  <c r="AU69" i="25"/>
  <c r="AV69" i="25"/>
  <c r="AW69" i="25"/>
  <c r="AX69" i="25"/>
  <c r="AY69" i="25"/>
  <c r="AZ69" i="25"/>
  <c r="BA69" i="25"/>
  <c r="BB69" i="25"/>
  <c r="BC69" i="25"/>
  <c r="BH16" i="25"/>
  <c r="BF16" i="25"/>
  <c r="BG16" i="25"/>
  <c r="BE16" i="25"/>
  <c r="BE70" i="25" l="1"/>
  <c r="Q10" i="35" s="1"/>
  <c r="Q33" i="35" s="1"/>
  <c r="BF70" i="25"/>
  <c r="U10" i="35" s="1"/>
  <c r="U33" i="35" s="1"/>
  <c r="BG69" i="25"/>
  <c r="BF69" i="25"/>
  <c r="BE69" i="25"/>
  <c r="BH69" i="25"/>
  <c r="AC9" i="35" l="1"/>
  <c r="U9" i="35"/>
  <c r="Y9" i="35"/>
  <c r="Q9" i="35"/>
  <c r="G65" i="1"/>
  <c r="F109" i="25" s="1"/>
  <c r="Y32" i="35" l="1"/>
  <c r="U32" i="35"/>
  <c r="Q32" i="35"/>
  <c r="AC32" i="35"/>
  <c r="F121" i="25"/>
  <c r="H109" i="25"/>
  <c r="I109" i="25"/>
  <c r="J109" i="25"/>
  <c r="K109" i="25"/>
  <c r="L109" i="25"/>
  <c r="M109" i="25"/>
  <c r="N109" i="25"/>
  <c r="O109" i="25"/>
  <c r="P109" i="25"/>
  <c r="Q109" i="25"/>
  <c r="R109" i="25"/>
  <c r="S109" i="25"/>
  <c r="T109" i="25"/>
  <c r="U109" i="25"/>
  <c r="V109" i="25"/>
  <c r="W109" i="25"/>
  <c r="X109" i="25"/>
  <c r="Y109" i="25"/>
  <c r="Z109" i="25"/>
  <c r="AA109" i="25"/>
  <c r="AB109" i="25"/>
  <c r="AC109" i="25"/>
  <c r="AD109" i="25"/>
  <c r="AE109" i="25"/>
  <c r="AF109" i="25"/>
  <c r="AG109" i="25"/>
  <c r="AH109" i="25"/>
  <c r="AI109" i="25"/>
  <c r="AJ109" i="25"/>
  <c r="AK109" i="25"/>
  <c r="AL109" i="25"/>
  <c r="AM109" i="25"/>
  <c r="AN109" i="25"/>
  <c r="AO109" i="25"/>
  <c r="AP109" i="25"/>
  <c r="AQ109" i="25"/>
  <c r="AR109" i="25"/>
  <c r="AS109" i="25"/>
  <c r="AT109" i="25"/>
  <c r="AU109" i="25"/>
  <c r="AV109" i="25"/>
  <c r="AW109" i="25"/>
  <c r="AX109" i="25"/>
  <c r="AY109" i="25"/>
  <c r="AZ109" i="25"/>
  <c r="BA109" i="25"/>
  <c r="BB109" i="25"/>
  <c r="BC109" i="25"/>
  <c r="BE110" i="25" l="1"/>
  <c r="R10" i="35" s="1"/>
  <c r="R33" i="35" s="1"/>
  <c r="BF110" i="25"/>
  <c r="V10" i="35" s="1"/>
  <c r="V33" i="35" s="1"/>
  <c r="BE109" i="25"/>
  <c r="BG109" i="25"/>
  <c r="BF109" i="25"/>
  <c r="BH109" i="25"/>
  <c r="AD8" i="35" l="1"/>
  <c r="AD31" i="35" s="1"/>
  <c r="V8" i="35"/>
  <c r="V31" i="35" s="1"/>
  <c r="Z8" i="35"/>
  <c r="Z31" i="35" s="1"/>
  <c r="R8" i="35"/>
  <c r="R31" i="35" s="1"/>
  <c r="R9" i="35"/>
  <c r="Z9" i="35"/>
  <c r="AD9" i="35"/>
  <c r="V9" i="35"/>
  <c r="F24" i="25"/>
  <c r="H13" i="7"/>
  <c r="F31" i="25" s="1"/>
  <c r="C29" i="8"/>
  <c r="F30" i="25" s="1"/>
  <c r="AD32" i="35" l="1"/>
  <c r="Z32" i="35"/>
  <c r="V32" i="35"/>
  <c r="R32" i="35"/>
  <c r="H24" i="25"/>
  <c r="I24" i="25"/>
  <c r="J24" i="25"/>
  <c r="K24" i="25"/>
  <c r="L24" i="25"/>
  <c r="M24" i="25"/>
  <c r="N24" i="25"/>
  <c r="O24" i="25"/>
  <c r="P24" i="25"/>
  <c r="Q24" i="25"/>
  <c r="R24" i="25"/>
  <c r="S24" i="25"/>
  <c r="S25" i="25" s="1"/>
  <c r="BE25" i="25" s="1"/>
  <c r="J12" i="35" s="1"/>
  <c r="T24" i="25"/>
  <c r="T25" i="25" s="1"/>
  <c r="U24" i="25"/>
  <c r="U25" i="25" s="1"/>
  <c r="V24" i="25"/>
  <c r="W24" i="25"/>
  <c r="X24" i="25"/>
  <c r="Y24" i="25"/>
  <c r="Z24" i="25"/>
  <c r="AA24" i="25"/>
  <c r="AB24" i="25"/>
  <c r="AC24" i="25"/>
  <c r="AD24" i="25"/>
  <c r="AE24" i="25"/>
  <c r="AF24" i="25"/>
  <c r="AG24" i="25"/>
  <c r="AH24" i="25"/>
  <c r="AI24" i="25"/>
  <c r="AJ24" i="25"/>
  <c r="AK24" i="25"/>
  <c r="AL24" i="25"/>
  <c r="AM24" i="25"/>
  <c r="AN24" i="25"/>
  <c r="AO24" i="25"/>
  <c r="AP24" i="25"/>
  <c r="AQ24" i="25"/>
  <c r="AR24" i="25"/>
  <c r="AS24" i="25"/>
  <c r="AT24" i="25"/>
  <c r="AU24" i="25"/>
  <c r="AV24" i="25"/>
  <c r="AW24" i="25"/>
  <c r="AX24" i="25"/>
  <c r="AY24" i="25"/>
  <c r="AZ24" i="25"/>
  <c r="BA24" i="25"/>
  <c r="BB24" i="25"/>
  <c r="BC24" i="25"/>
  <c r="H31" i="25"/>
  <c r="I31" i="25"/>
  <c r="J31" i="25"/>
  <c r="K31" i="25"/>
  <c r="L31" i="25"/>
  <c r="M31" i="25"/>
  <c r="N31" i="25"/>
  <c r="O31" i="25"/>
  <c r="P31" i="25"/>
  <c r="Q31" i="25"/>
  <c r="R31" i="25"/>
  <c r="S31" i="25"/>
  <c r="T31" i="25"/>
  <c r="U31" i="25"/>
  <c r="V31" i="25"/>
  <c r="W31" i="25"/>
  <c r="X31" i="25"/>
  <c r="Y31" i="25"/>
  <c r="Z31" i="25"/>
  <c r="AA31" i="25"/>
  <c r="AB31" i="25"/>
  <c r="AC31" i="25"/>
  <c r="AD31" i="25"/>
  <c r="AE31" i="25"/>
  <c r="AF31" i="25"/>
  <c r="AG31" i="25"/>
  <c r="AH31" i="25"/>
  <c r="AI31" i="25"/>
  <c r="AJ31" i="25"/>
  <c r="AK31" i="25"/>
  <c r="AL31" i="25"/>
  <c r="AM31" i="25"/>
  <c r="AN31" i="25"/>
  <c r="AO31" i="25"/>
  <c r="AP31" i="25"/>
  <c r="AQ31" i="25"/>
  <c r="AR31" i="25"/>
  <c r="AS31" i="25"/>
  <c r="AT31" i="25"/>
  <c r="AU31" i="25"/>
  <c r="AV31" i="25"/>
  <c r="AW31" i="25"/>
  <c r="AX31" i="25"/>
  <c r="AY31" i="25"/>
  <c r="AZ31" i="25"/>
  <c r="BA31" i="25"/>
  <c r="BB31" i="25"/>
  <c r="BC31" i="25"/>
  <c r="H30" i="25"/>
  <c r="I30" i="25"/>
  <c r="J30" i="25"/>
  <c r="K30" i="25"/>
  <c r="L30" i="25"/>
  <c r="M30" i="25"/>
  <c r="N30" i="25"/>
  <c r="O30" i="25"/>
  <c r="P30" i="25"/>
  <c r="Q30" i="25"/>
  <c r="R30" i="25"/>
  <c r="S30" i="25"/>
  <c r="T30" i="25"/>
  <c r="U30" i="25"/>
  <c r="V30" i="25"/>
  <c r="W30" i="25"/>
  <c r="X30" i="25"/>
  <c r="Y30" i="25"/>
  <c r="Z30" i="25"/>
  <c r="AA30" i="25"/>
  <c r="AB30" i="25"/>
  <c r="AC30" i="25"/>
  <c r="AD30" i="25"/>
  <c r="AE30" i="25"/>
  <c r="AF30" i="25"/>
  <c r="AG30" i="25"/>
  <c r="AH30" i="25"/>
  <c r="AI30" i="25"/>
  <c r="AJ30" i="25"/>
  <c r="AK30" i="25"/>
  <c r="AL30" i="25"/>
  <c r="AM30" i="25"/>
  <c r="AN30" i="25"/>
  <c r="AO30" i="25"/>
  <c r="AP30" i="25"/>
  <c r="AQ30" i="25"/>
  <c r="AR30" i="25"/>
  <c r="AS30" i="25"/>
  <c r="AT30" i="25"/>
  <c r="AU30" i="25"/>
  <c r="AV30" i="25"/>
  <c r="AW30" i="25"/>
  <c r="AX30" i="25"/>
  <c r="AY30" i="25"/>
  <c r="AZ30" i="25"/>
  <c r="BA30" i="25"/>
  <c r="BB30" i="25"/>
  <c r="BC30" i="25"/>
  <c r="BF25" i="25"/>
  <c r="K12" i="35" s="1"/>
  <c r="BH34" i="25"/>
  <c r="M21" i="35" s="1"/>
  <c r="BF31" i="25" l="1"/>
  <c r="K18" i="35" s="1"/>
  <c r="BH24" i="25"/>
  <c r="M11" i="35" s="1"/>
  <c r="BH30" i="25"/>
  <c r="M17" i="35" s="1"/>
  <c r="BE30" i="25"/>
  <c r="J17" i="35" s="1"/>
  <c r="BH31" i="25"/>
  <c r="BG31" i="25"/>
  <c r="BE31" i="25"/>
  <c r="BG24" i="25"/>
  <c r="L11" i="35" s="1"/>
  <c r="BF24" i="25"/>
  <c r="K11" i="35" s="1"/>
  <c r="BE24" i="25"/>
  <c r="BG30" i="25"/>
  <c r="L17" i="35" s="1"/>
  <c r="BF30" i="25"/>
  <c r="K17" i="35" s="1"/>
  <c r="BH28" i="25"/>
  <c r="M15" i="35" s="1"/>
  <c r="BF28" i="25"/>
  <c r="K15" i="35" s="1"/>
  <c r="BG28" i="25"/>
  <c r="L15" i="35" s="1"/>
  <c r="BE28" i="25"/>
  <c r="J15" i="35" s="1"/>
  <c r="J11" i="35" l="1"/>
  <c r="J18" i="35"/>
  <c r="L18" i="35"/>
  <c r="M18" i="35"/>
  <c r="BG34" i="25"/>
  <c r="L21" i="35" s="1"/>
  <c r="BE34" i="25"/>
  <c r="J21" i="35" s="1"/>
  <c r="BF34" i="25"/>
  <c r="K21" i="35" l="1"/>
  <c r="K81" i="25" l="1"/>
  <c r="BC81" i="25" l="1"/>
  <c r="AQ81" i="25"/>
  <c r="J81" i="25"/>
  <c r="AG81" i="25"/>
  <c r="X81" i="25"/>
  <c r="Q81" i="25"/>
  <c r="AP81" i="25"/>
  <c r="AI81" i="25"/>
  <c r="AC81" i="25"/>
  <c r="H81" i="25"/>
  <c r="AO81" i="25"/>
  <c r="S81" i="25"/>
  <c r="AN81" i="25"/>
  <c r="AD81" i="25"/>
  <c r="AE81" i="25"/>
  <c r="AV81" i="25"/>
  <c r="BA81" i="25"/>
  <c r="AM81" i="25"/>
  <c r="AS81" i="25"/>
  <c r="AU81" i="25"/>
  <c r="O81" i="25"/>
  <c r="U81" i="25"/>
  <c r="M81" i="25"/>
  <c r="AT81" i="25"/>
  <c r="AK81" i="25"/>
  <c r="F81" i="25"/>
  <c r="AL81" i="25"/>
  <c r="AJ81" i="25"/>
  <c r="AX81" i="25"/>
  <c r="P81" i="25"/>
  <c r="AA81" i="25"/>
  <c r="AH81" i="25"/>
  <c r="BB81" i="25"/>
  <c r="Z81" i="25"/>
  <c r="AW81" i="25"/>
  <c r="Y81" i="25"/>
  <c r="N81" i="25"/>
  <c r="AZ81" i="25"/>
  <c r="R81" i="25"/>
  <c r="W81" i="25"/>
  <c r="AY81" i="25"/>
  <c r="L81" i="25"/>
  <c r="I81" i="25"/>
  <c r="V81" i="25"/>
  <c r="AB81" i="25"/>
  <c r="T81" i="25" l="1"/>
  <c r="BF81" i="25" s="1"/>
  <c r="BF79" i="25"/>
  <c r="BE81" i="25"/>
  <c r="AR81" i="25"/>
  <c r="BH81" i="25" s="1"/>
  <c r="BH79" i="25"/>
  <c r="BG79" i="25"/>
  <c r="AF81" i="25"/>
  <c r="BG81" i="25" s="1"/>
  <c r="BE79" i="25"/>
  <c r="Q19" i="35" l="1"/>
  <c r="Y19" i="35"/>
  <c r="AC19" i="35"/>
  <c r="U19" i="35"/>
  <c r="AM121" i="25"/>
  <c r="AT121" i="25"/>
  <c r="H121" i="25"/>
  <c r="Q42" i="35" l="1"/>
  <c r="Q43" i="35" s="1"/>
  <c r="Q20" i="35"/>
  <c r="J42" i="35" s="1"/>
  <c r="AC42" i="35"/>
  <c r="AC43" i="35" s="1"/>
  <c r="AC20" i="35"/>
  <c r="M42" i="35" s="1"/>
  <c r="Y42" i="35"/>
  <c r="Y43" i="35" s="1"/>
  <c r="Y20" i="35"/>
  <c r="L42" i="35" s="1"/>
  <c r="U42" i="35"/>
  <c r="U43" i="35" s="1"/>
  <c r="U20" i="35"/>
  <c r="K42" i="35" s="1"/>
  <c r="AL121" i="25"/>
  <c r="W121" i="25"/>
  <c r="AA121" i="25"/>
  <c r="I121" i="25"/>
  <c r="BC121" i="25"/>
  <c r="AW121" i="25"/>
  <c r="AJ121" i="25"/>
  <c r="L121" i="25"/>
  <c r="AC121" i="25"/>
  <c r="S121" i="25"/>
  <c r="R121" i="25"/>
  <c r="AU121" i="25"/>
  <c r="AH121" i="25"/>
  <c r="AP121" i="25"/>
  <c r="AD121" i="25"/>
  <c r="M121" i="25"/>
  <c r="AB121" i="25"/>
  <c r="AE121" i="25"/>
  <c r="AK121" i="25"/>
  <c r="V121" i="25"/>
  <c r="AX121" i="25"/>
  <c r="J121" i="25"/>
  <c r="AS121" i="25"/>
  <c r="Z121" i="25"/>
  <c r="AY121" i="25"/>
  <c r="O121" i="25"/>
  <c r="AO121" i="25"/>
  <c r="K121" i="25"/>
  <c r="BA121" i="25"/>
  <c r="AN121" i="25"/>
  <c r="P121" i="25"/>
  <c r="AZ121" i="25"/>
  <c r="Q121" i="25"/>
  <c r="BB121" i="25"/>
  <c r="AI121" i="25"/>
  <c r="AG121" i="25"/>
  <c r="N121" i="25"/>
  <c r="Y121" i="25"/>
  <c r="U121" i="25"/>
  <c r="AV121" i="25"/>
  <c r="X121" i="25"/>
  <c r="AQ121" i="25"/>
  <c r="K48" i="35" l="1"/>
  <c r="L48" i="35"/>
  <c r="M48" i="35"/>
  <c r="J48" i="35"/>
  <c r="C15" i="35" s="1"/>
  <c r="U22" i="35"/>
  <c r="AC22" i="35"/>
  <c r="Y22" i="35"/>
  <c r="Q22" i="35"/>
  <c r="BE119" i="25"/>
  <c r="R18" i="35" s="1"/>
  <c r="R41" i="35" s="1"/>
  <c r="BE121" i="25"/>
  <c r="AR121" i="25"/>
  <c r="BH121" i="25" s="1"/>
  <c r="BH119" i="25"/>
  <c r="AD18" i="35" s="1"/>
  <c r="AD41" i="35" s="1"/>
  <c r="AF121" i="25"/>
  <c r="BG121" i="25" s="1"/>
  <c r="BG119" i="25"/>
  <c r="Z18" i="35" s="1"/>
  <c r="Z41" i="35" s="1"/>
  <c r="BF119" i="25"/>
  <c r="V18" i="35" s="1"/>
  <c r="V41" i="35" s="1"/>
  <c r="T121" i="25"/>
  <c r="BF121" i="25" s="1"/>
  <c r="V19" i="35" l="1"/>
  <c r="Z19" i="35"/>
  <c r="AD19" i="35"/>
  <c r="R19" i="35"/>
  <c r="AD42" i="35" l="1"/>
  <c r="AD43" i="35" s="1"/>
  <c r="AD20" i="35"/>
  <c r="M43" i="35" s="1"/>
  <c r="R42" i="35"/>
  <c r="R43" i="35" s="1"/>
  <c r="R20" i="35"/>
  <c r="J43" i="35" s="1"/>
  <c r="Z42" i="35"/>
  <c r="Z43" i="35" s="1"/>
  <c r="Z20" i="35"/>
  <c r="L43" i="35" s="1"/>
  <c r="V42" i="35"/>
  <c r="V43" i="35" s="1"/>
  <c r="V20" i="35"/>
  <c r="K43" i="35" s="1"/>
  <c r="K49" i="35" l="1"/>
  <c r="D16" i="35" s="1"/>
  <c r="J49" i="35"/>
  <c r="M49" i="35"/>
  <c r="L49" i="35"/>
  <c r="E16" i="35" s="1"/>
  <c r="Z22" i="35"/>
  <c r="AB24" i="35" s="1"/>
  <c r="R22" i="35"/>
  <c r="T24" i="35" s="1"/>
  <c r="AD22" i="35"/>
  <c r="AF24" i="35" s="1"/>
  <c r="V22" i="35"/>
  <c r="E17" i="35"/>
  <c r="E15" i="35"/>
  <c r="E18" i="35"/>
  <c r="D15" i="35"/>
  <c r="D18" i="35"/>
  <c r="D17" i="35"/>
  <c r="F15" i="35"/>
  <c r="F18" i="35"/>
  <c r="F17" i="35"/>
  <c r="BC61" i="25"/>
  <c r="BH23" i="25"/>
  <c r="BH19" i="25"/>
  <c r="M6" i="35" s="1"/>
  <c r="BE23" i="25"/>
  <c r="BG23" i="25"/>
  <c r="BG20" i="25"/>
  <c r="L7" i="35" s="1"/>
  <c r="BH20" i="25"/>
  <c r="M7" i="35" s="1"/>
  <c r="BE20" i="25"/>
  <c r="J7" i="35" s="1"/>
  <c r="BF23" i="25"/>
  <c r="BG19" i="25"/>
  <c r="L6" i="35" s="1"/>
  <c r="BE19" i="25"/>
  <c r="BF20" i="25"/>
  <c r="K7" i="35" s="1"/>
  <c r="BF19" i="25"/>
  <c r="K6" i="35" s="1"/>
  <c r="M52" i="35" l="1"/>
  <c r="F16" i="35"/>
  <c r="F19" i="35" s="1"/>
  <c r="F21" i="35" s="1"/>
  <c r="L10" i="35"/>
  <c r="L22" i="35" s="1"/>
  <c r="E7" i="35"/>
  <c r="J10" i="35"/>
  <c r="C7" i="35"/>
  <c r="J6" i="35"/>
  <c r="M10" i="35"/>
  <c r="M22" i="35" s="1"/>
  <c r="F7" i="35"/>
  <c r="C16" i="35"/>
  <c r="C19" i="35" s="1"/>
  <c r="C21" i="35" s="1"/>
  <c r="J52" i="35"/>
  <c r="K10" i="35"/>
  <c r="K22" i="35" s="1"/>
  <c r="D7" i="35"/>
  <c r="D19" i="35"/>
  <c r="D21" i="35" s="1"/>
  <c r="E19" i="35"/>
  <c r="E21" i="35" s="1"/>
  <c r="X24" i="35"/>
  <c r="L52" i="35"/>
  <c r="K52" i="35"/>
  <c r="I61" i="25"/>
  <c r="K61" i="25"/>
  <c r="M61" i="25"/>
  <c r="O61" i="25"/>
  <c r="Q61" i="25"/>
  <c r="T61" i="25"/>
  <c r="V61" i="25"/>
  <c r="W61" i="25"/>
  <c r="Y61" i="25"/>
  <c r="Z61" i="25"/>
  <c r="AC61" i="25"/>
  <c r="AE61" i="25"/>
  <c r="AG61" i="25"/>
  <c r="AI61" i="25"/>
  <c r="AK61" i="25"/>
  <c r="AM61" i="25"/>
  <c r="AP61" i="25"/>
  <c r="AR61" i="25"/>
  <c r="AS61" i="25"/>
  <c r="AU61" i="25"/>
  <c r="AW61" i="25"/>
  <c r="AY61" i="25"/>
  <c r="BA61" i="25"/>
  <c r="BB61" i="25"/>
  <c r="J61" i="25"/>
  <c r="N61" i="25"/>
  <c r="P61" i="25"/>
  <c r="R61" i="25"/>
  <c r="S61" i="25"/>
  <c r="U61" i="25"/>
  <c r="X61" i="25"/>
  <c r="AA61" i="25"/>
  <c r="AB61" i="25"/>
  <c r="AD61" i="25"/>
  <c r="AF61" i="25"/>
  <c r="AH61" i="25"/>
  <c r="AJ61" i="25"/>
  <c r="AL61" i="25"/>
  <c r="AN61" i="25"/>
  <c r="AO61" i="25"/>
  <c r="AQ61" i="25"/>
  <c r="AT61" i="25"/>
  <c r="AV61" i="25"/>
  <c r="AX61" i="25"/>
  <c r="AZ61" i="25"/>
  <c r="H61" i="25"/>
  <c r="L61" i="25"/>
  <c r="J22" i="35" l="1"/>
  <c r="J54" i="35" s="1"/>
  <c r="C6" i="35"/>
  <c r="C9" i="35" s="1"/>
  <c r="K54" i="35"/>
  <c r="F6" i="35"/>
  <c r="F9" i="35" s="1"/>
  <c r="D6" i="35"/>
  <c r="D9" i="35" s="1"/>
  <c r="BF61" i="25"/>
  <c r="E6" i="35"/>
  <c r="E9" i="35" s="1"/>
  <c r="M54" i="35"/>
  <c r="L54" i="35"/>
  <c r="C25" i="35" l="1"/>
  <c r="C26" i="35" s="1"/>
  <c r="D25" i="35"/>
  <c r="D26" i="35" s="1"/>
  <c r="F25" i="35"/>
  <c r="F26" i="35" s="1"/>
  <c r="E25" i="35"/>
  <c r="E26" i="35" s="1"/>
  <c r="BG61" i="25"/>
  <c r="BH61" i="25"/>
  <c r="BE61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Stewart</author>
  </authors>
  <commentList>
    <comment ref="F5" authorId="0" shapeId="0" xr:uid="{8AB852BD-53B4-4D2F-B7C3-135DAB634B2D}">
      <text>
        <r>
          <rPr>
            <sz val="9"/>
            <color indexed="81"/>
            <rFont val="Tahoma"/>
            <family val="2"/>
          </rPr>
          <t>This should be the dollar value of income received from GP activity</t>
        </r>
      </text>
    </comment>
    <comment ref="H5" authorId="0" shapeId="0" xr:uid="{91F3D346-88A9-4CAD-9FF4-B99D9EBA33DC}">
      <text>
        <r>
          <rPr>
            <sz val="9"/>
            <color indexed="81"/>
            <rFont val="Tahoma"/>
            <family val="2"/>
          </rPr>
          <t>This is the name of the line in your P&amp;L</t>
        </r>
      </text>
    </comment>
    <comment ref="I5" authorId="0" shapeId="0" xr:uid="{9A22F713-ED85-4038-85F2-7328C21E2637}">
      <text>
        <r>
          <rPr>
            <sz val="9"/>
            <color indexed="81"/>
            <rFont val="Tahoma"/>
            <family val="2"/>
          </rPr>
          <t>This is the dollar value of the line in your P&amp;L</t>
        </r>
      </text>
    </comment>
    <comment ref="J5" authorId="0" shapeId="0" xr:uid="{A4F315B5-FBA7-4C7B-BAC8-7FA9FE4086F5}">
      <text>
        <r>
          <rPr>
            <sz val="9"/>
            <color indexed="81"/>
            <rFont val="Tahoma"/>
            <family val="2"/>
          </rPr>
          <t>Pick the type of transaction from the dropdown box that best describes the line in the P&amp;L</t>
        </r>
      </text>
    </comment>
    <comment ref="K5" authorId="0" shapeId="0" xr:uid="{B898FDF6-C4F0-4250-A471-277CBDE17420}">
      <text>
        <r>
          <rPr>
            <sz val="9"/>
            <color indexed="81"/>
            <rFont val="Tahoma"/>
            <family val="2"/>
          </rPr>
          <t>Select from the dropdown whether the cost is variable or fixed</t>
        </r>
      </text>
    </comment>
    <comment ref="F6" authorId="0" shapeId="0" xr:uid="{F4786D74-0FFD-4AED-8D0E-5EC938176374}">
      <text>
        <r>
          <rPr>
            <sz val="9"/>
            <color indexed="81"/>
            <rFont val="Tahoma"/>
            <family val="2"/>
          </rPr>
          <t>This should be the number of consultations completed in a year by GPs.</t>
        </r>
      </text>
    </comment>
    <comment ref="F10" authorId="0" shapeId="0" xr:uid="{491CE2CA-914B-4E1D-96C0-8FEE40E065FA}">
      <text>
        <r>
          <rPr>
            <sz val="9"/>
            <color indexed="81"/>
            <rFont val="Tahoma"/>
            <family val="2"/>
          </rPr>
          <t>This should be the dollar value of income received from Nurse activity</t>
        </r>
      </text>
    </comment>
    <comment ref="F11" authorId="0" shapeId="0" xr:uid="{B1C322EA-9CC6-4E39-9AF6-6889E0E762F0}">
      <text>
        <r>
          <rPr>
            <sz val="9"/>
            <color indexed="81"/>
            <rFont val="Tahoma"/>
            <family val="2"/>
          </rPr>
          <t>This should be the number of consultations completed in a year by Nurses.</t>
        </r>
      </text>
    </comment>
    <comment ref="C16" authorId="0" shapeId="0" xr:uid="{9627DFDC-5CC0-44F5-9FBB-077BB615E138}">
      <text>
        <r>
          <rPr>
            <sz val="9"/>
            <color indexed="81"/>
            <rFont val="Tahoma"/>
            <family val="2"/>
          </rPr>
          <t>This is the average number of weeks one FTE staff member would take. This helps to understand how much of each FTE is available to work.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Stewart</author>
  </authors>
  <commentList>
    <comment ref="C4" authorId="0" shapeId="0" xr:uid="{D3059EAD-85DF-45A6-94F7-EFF46A36CBC8}">
      <text>
        <r>
          <rPr>
            <sz val="9"/>
            <color indexed="81"/>
            <rFont val="Tahoma"/>
            <family val="2"/>
          </rPr>
          <t>How long will it take to scale up GP Triage from start to full usage?</t>
        </r>
      </text>
    </comment>
    <comment ref="C7" authorId="0" shapeId="0" xr:uid="{D5CF8FE2-637C-4DB0-BC37-9BA0E056785C}">
      <text>
        <r>
          <rPr>
            <sz val="9"/>
            <color indexed="81"/>
            <rFont val="Tahoma"/>
            <family val="2"/>
          </rPr>
          <t xml:space="preserve">52 weeks less weeks you may not do huddles (e.g. Christmas/New Years)
</t>
        </r>
      </text>
    </comment>
    <comment ref="C8" authorId="0" shapeId="0" xr:uid="{E4D0B795-1596-4A22-A6E9-B9D22FE5F7F8}">
      <text>
        <r>
          <rPr>
            <sz val="9"/>
            <color indexed="81"/>
            <rFont val="Tahoma"/>
            <family val="2"/>
          </rPr>
          <t>Number of seconds per call to advise re GP triage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Stewart</author>
  </authors>
  <commentList>
    <comment ref="C4" authorId="0" shapeId="0" xr:uid="{830A5B88-6124-45D8-A9A8-F11CB9C6A66E}">
      <text>
        <r>
          <rPr>
            <sz val="9"/>
            <color indexed="81"/>
            <rFont val="Tahoma"/>
            <family val="2"/>
          </rPr>
          <t xml:space="preserve">E.g. enter 5 if daily, 1 if once a week.
</t>
        </r>
      </text>
    </comment>
    <comment ref="C5" authorId="0" shapeId="0" xr:uid="{033A6381-248D-4E87-9613-E944411D00C0}">
      <text>
        <r>
          <rPr>
            <sz val="9"/>
            <color indexed="81"/>
            <rFont val="Tahoma"/>
            <family val="2"/>
          </rPr>
          <t>How much time would you need to block out of templates to do huddles?</t>
        </r>
      </text>
    </comment>
    <comment ref="C6" authorId="0" shapeId="0" xr:uid="{F3673205-4EA0-4FE0-8D42-2B807764DE4A}">
      <text>
        <r>
          <rPr>
            <sz val="9"/>
            <color indexed="81"/>
            <rFont val="Tahoma"/>
            <family val="2"/>
          </rPr>
          <t>52 weeks less weeks you may not do huddles (e.g. Christmas/New Years)</t>
        </r>
      </text>
    </comment>
    <comment ref="C9" authorId="0" shapeId="0" xr:uid="{38F3A364-8C9E-4705-96B5-5184CF5DB866}">
      <text>
        <r>
          <rPr>
            <sz val="9"/>
            <color indexed="81"/>
            <rFont val="Tahoma"/>
            <family val="2"/>
          </rPr>
          <t>If you enter a % then the model will apply this to your FTE.</t>
        </r>
      </text>
    </comment>
    <comment ref="D9" authorId="0" shapeId="0" xr:uid="{E396522E-4081-4B9E-A371-D9D908FA2318}">
      <text>
        <r>
          <rPr>
            <sz val="9"/>
            <color indexed="81"/>
            <rFont val="Tahoma"/>
            <family val="2"/>
          </rPr>
          <t>If you enter a number then the model will use the number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Stewart</author>
  </authors>
  <commentList>
    <comment ref="C4" authorId="0" shapeId="0" xr:uid="{E4E1BCFD-64C8-47B9-82E3-47AF0C5F3ABA}">
      <text>
        <r>
          <rPr>
            <sz val="9"/>
            <color indexed="81"/>
            <rFont val="Tahoma"/>
            <family val="2"/>
          </rPr>
          <t>How long will it take to scale up GP Triage from start to full usage?</t>
        </r>
      </text>
    </comment>
    <comment ref="E4" authorId="0" shapeId="0" xr:uid="{DDA00506-3C3F-4531-9426-1ADC2EDD2A84}">
      <text>
        <r>
          <rPr>
            <sz val="9"/>
            <color indexed="81"/>
            <rFont val="Tahoma"/>
            <family val="2"/>
          </rPr>
          <t xml:space="preserve">Enter the name of the task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Stewart</author>
  </authors>
  <commentList>
    <comment ref="C4" authorId="0" shapeId="0" xr:uid="{3A020395-6FB8-497B-9AB6-9EB4B8F3BE20}">
      <text>
        <r>
          <rPr>
            <sz val="9"/>
            <color indexed="81"/>
            <rFont val="Tahoma"/>
            <family val="2"/>
          </rPr>
          <t>How long will it take to scale up GP Triage from start to full usage?</t>
        </r>
      </text>
    </comment>
    <comment ref="C5" authorId="0" shapeId="0" xr:uid="{D8DB661F-25F5-4BE2-ACB3-661E34669132}">
      <text>
        <r>
          <rPr>
            <sz val="9"/>
            <color indexed="81"/>
            <rFont val="Tahoma"/>
            <family val="2"/>
          </rPr>
          <t>E.g. enter 1 for once a month, 0.5 for every 2 months</t>
        </r>
      </text>
    </comment>
    <comment ref="C7" authorId="0" shapeId="0" xr:uid="{0462D4C8-A3D3-4233-8591-804368A1BED5}">
      <text>
        <r>
          <rPr>
            <sz val="9"/>
            <color indexed="81"/>
            <rFont val="Tahoma"/>
            <family val="2"/>
          </rPr>
          <t>An approximate number of patients you'd expect to discuss in the time allowed.</t>
        </r>
      </text>
    </comment>
    <comment ref="C12" authorId="0" shapeId="0" xr:uid="{E9955434-318F-46B7-867C-99078566E512}">
      <text>
        <r>
          <rPr>
            <sz val="9"/>
            <color indexed="81"/>
            <rFont val="Tahoma"/>
            <family val="2"/>
          </rPr>
          <t>Enter the number of additional people present. It is assumed that person will be present for the whole meeting.</t>
        </r>
      </text>
    </comment>
    <comment ref="C13" authorId="0" shapeId="0" xr:uid="{108AD783-4622-446E-9055-AC3E2858BCA4}">
      <text>
        <r>
          <rPr>
            <sz val="9"/>
            <color indexed="81"/>
            <rFont val="Tahoma"/>
            <family val="2"/>
          </rPr>
          <t>Enter the number of additional people present. It is assumed that person will be present for the whole meeting.</t>
        </r>
      </text>
    </comment>
    <comment ref="C14" authorId="0" shapeId="0" xr:uid="{9F385570-B28D-490E-8B22-4C8A6C8E7296}">
      <text>
        <r>
          <rPr>
            <sz val="9"/>
            <color indexed="81"/>
            <rFont val="Tahoma"/>
            <family val="2"/>
          </rPr>
          <t>Enter the number of additional people present. It is assumed that person will be present for the whole meeting.</t>
        </r>
      </text>
    </comment>
    <comment ref="C15" authorId="0" shapeId="0" xr:uid="{9DE770E1-9903-4EFF-AF34-95B87B459314}">
      <text>
        <r>
          <rPr>
            <sz val="9"/>
            <color indexed="81"/>
            <rFont val="Tahoma"/>
            <family val="2"/>
          </rPr>
          <t>Enter the number of additional people present. It is assumed that person will be present for the whole meeting.</t>
        </r>
      </text>
    </comment>
  </commentList>
</comments>
</file>

<file path=xl/sharedStrings.xml><?xml version="1.0" encoding="utf-8"?>
<sst xmlns="http://schemas.openxmlformats.org/spreadsheetml/2006/main" count="700" uniqueCount="396">
  <si>
    <t>GP Triage</t>
  </si>
  <si>
    <t>Avoided appointment via diagnostics</t>
  </si>
  <si>
    <t>Standard appointment</t>
  </si>
  <si>
    <t>Huddles</t>
  </si>
  <si>
    <t>Practice Nurse FTE</t>
  </si>
  <si>
    <t>GP</t>
  </si>
  <si>
    <t>Nurse</t>
  </si>
  <si>
    <t>HCA</t>
  </si>
  <si>
    <t>Enrolled Patients</t>
  </si>
  <si>
    <t>%</t>
  </si>
  <si>
    <t>New HCA FTE</t>
  </si>
  <si>
    <t>% of Nurses attending</t>
  </si>
  <si>
    <t>Admin FTE</t>
  </si>
  <si>
    <t>% of Admin attending</t>
  </si>
  <si>
    <t>Weeks per year huddles completed</t>
  </si>
  <si>
    <t>% of HCA's attending</t>
  </si>
  <si>
    <t>Admin</t>
  </si>
  <si>
    <t>Average # of GPs attending per patient</t>
  </si>
  <si>
    <t>Average # of Nurses attending per patient</t>
  </si>
  <si>
    <t>Annual Minutes</t>
  </si>
  <si>
    <t>Activity Revenue</t>
  </si>
  <si>
    <t>Overheads</t>
  </si>
  <si>
    <t>Direct Costs</t>
  </si>
  <si>
    <t>Other Income</t>
  </si>
  <si>
    <t>Additional admin FTE to move calls off the front desk</t>
  </si>
  <si>
    <t>Additional Admin minutes required</t>
  </si>
  <si>
    <t>Annual cost increase</t>
  </si>
  <si>
    <t>Call Management</t>
  </si>
  <si>
    <t>Explanation</t>
  </si>
  <si>
    <t>Amount</t>
  </si>
  <si>
    <t>Revenue</t>
  </si>
  <si>
    <t>Calculations</t>
  </si>
  <si>
    <t>Weeks of GP triage per year</t>
  </si>
  <si>
    <t>Revenue generated through GP Triage</t>
  </si>
  <si>
    <t>Triage Calls completed per year</t>
  </si>
  <si>
    <t>Total Revenue change from GP Triage</t>
  </si>
  <si>
    <t>Expenses</t>
  </si>
  <si>
    <t>Start Date</t>
  </si>
  <si>
    <t>Implementation period</t>
  </si>
  <si>
    <t>Annual value</t>
  </si>
  <si>
    <t>Months from start to full implementation</t>
  </si>
  <si>
    <t>Financial Year</t>
  </si>
  <si>
    <t>Month</t>
  </si>
  <si>
    <t>First year one-off costs</t>
  </si>
  <si>
    <t>Ongoing annual costs</t>
  </si>
  <si>
    <t>Unused GP triage slots</t>
  </si>
  <si>
    <t>Revenue forgone per year from GP triage time</t>
  </si>
  <si>
    <t>Year One Cost</t>
  </si>
  <si>
    <t>% of GPs attending per day</t>
  </si>
  <si>
    <t>Attendees</t>
  </si>
  <si>
    <t>Including huddle and 'travel' time</t>
  </si>
  <si>
    <t>GPs</t>
  </si>
  <si>
    <t>Activity Revenue per year from GPs</t>
  </si>
  <si>
    <t>Average revenue per consultation from GPs</t>
  </si>
  <si>
    <t>Activity Revenue per year from Nurses</t>
  </si>
  <si>
    <t>Average revenue per consultation from Nurses</t>
  </si>
  <si>
    <t>Average Revenue</t>
  </si>
  <si>
    <t>GP triage</t>
  </si>
  <si>
    <t>GP Revenue forgone</t>
  </si>
  <si>
    <t>Nurse revenue forgone</t>
  </si>
  <si>
    <t>Total revenue forgone</t>
  </si>
  <si>
    <t>Multi-discliplinary Team Meetings</t>
  </si>
  <si>
    <t>Cost of additional HCA resource</t>
  </si>
  <si>
    <t>Health Care Assistants</t>
  </si>
  <si>
    <t>Enrolled population</t>
  </si>
  <si>
    <t>Population</t>
  </si>
  <si>
    <t>Forecast FTE Change</t>
  </si>
  <si>
    <t>Months from start to achievement to target</t>
  </si>
  <si>
    <t>Forecast Minutes change</t>
  </si>
  <si>
    <t>Changes in Time</t>
  </si>
  <si>
    <t>Total Profit change</t>
  </si>
  <si>
    <t>Total Revenue change</t>
  </si>
  <si>
    <t>Total GP time change</t>
  </si>
  <si>
    <t>Changes in GP Time</t>
  </si>
  <si>
    <t>Changes in Nurse Time</t>
  </si>
  <si>
    <t>Changes in HCA Time</t>
  </si>
  <si>
    <t>Extended hours</t>
  </si>
  <si>
    <t>Patient portals</t>
  </si>
  <si>
    <t>Time previously used</t>
  </si>
  <si>
    <t>Time required for GP Triage</t>
  </si>
  <si>
    <t>Change in GP time</t>
  </si>
  <si>
    <t>Change in nurse time</t>
  </si>
  <si>
    <t>Time for new appointments</t>
  </si>
  <si>
    <t>Net change in GP Time</t>
  </si>
  <si>
    <t>Net change in Nurse Time</t>
  </si>
  <si>
    <t>Additional time to support GP Triage</t>
  </si>
  <si>
    <t>Net change in Reception Time</t>
  </si>
  <si>
    <t>Costs</t>
  </si>
  <si>
    <t>Total Huddles per year</t>
  </si>
  <si>
    <t>#</t>
  </si>
  <si>
    <t>Use either % of number</t>
  </si>
  <si>
    <t>Changes in Administration Time</t>
  </si>
  <si>
    <t>Change in Administration time</t>
  </si>
  <si>
    <t>Change in time</t>
  </si>
  <si>
    <t>This additional resource could be preparing for the meeting, chairing the meeting, taking minutes etc</t>
  </si>
  <si>
    <t>Task to be reallocated</t>
  </si>
  <si>
    <t>Hours per week for Nurses</t>
  </si>
  <si>
    <t>Total Hours per Week</t>
  </si>
  <si>
    <t>Net change in HCA time</t>
  </si>
  <si>
    <t>Nursing time released</t>
  </si>
  <si>
    <t>Hours per week for new HCAs</t>
  </si>
  <si>
    <t>Hours per week for existing HCAs</t>
  </si>
  <si>
    <t>Population Revenue</t>
  </si>
  <si>
    <t>Total Operational Revenue</t>
  </si>
  <si>
    <t>Clinical Staff</t>
  </si>
  <si>
    <t>Nurses</t>
  </si>
  <si>
    <t>Total Clinical Staff</t>
  </si>
  <si>
    <t>Clinical Suplies</t>
  </si>
  <si>
    <t>Total Direct Costs</t>
  </si>
  <si>
    <t>Gross Profit</t>
  </si>
  <si>
    <t>Admin Staff</t>
  </si>
  <si>
    <t>Total Overheads</t>
  </si>
  <si>
    <t>Operational Profit</t>
  </si>
  <si>
    <t>Other Expenses</t>
  </si>
  <si>
    <t>Net Profit Before Tax</t>
  </si>
  <si>
    <t>End Date</t>
  </si>
  <si>
    <t>Base</t>
  </si>
  <si>
    <t>Administration</t>
  </si>
  <si>
    <t>Other Variable Overheads</t>
  </si>
  <si>
    <t>Variable overheads</t>
  </si>
  <si>
    <t>Fixed Overheads</t>
  </si>
  <si>
    <t>Type</t>
  </si>
  <si>
    <t>Variable</t>
  </si>
  <si>
    <t>Fixed</t>
  </si>
  <si>
    <t>Activity</t>
  </si>
  <si>
    <t>Direct Cost</t>
  </si>
  <si>
    <t>Overhead</t>
  </si>
  <si>
    <t>Operating Revenue</t>
  </si>
  <si>
    <t>Account</t>
  </si>
  <si>
    <t>GP Cost</t>
  </si>
  <si>
    <t>Nurse Cost</t>
  </si>
  <si>
    <t>HCA Cost</t>
  </si>
  <si>
    <t>Admin Cost</t>
  </si>
  <si>
    <t>Total Variable Overheads</t>
  </si>
  <si>
    <t>Other (staff release for training and implementation activity)</t>
  </si>
  <si>
    <t>Total Expenses change</t>
  </si>
  <si>
    <t>Net Time Changes</t>
  </si>
  <si>
    <t>Annual change in minutes</t>
  </si>
  <si>
    <t>Approximate cost per minute</t>
  </si>
  <si>
    <t>Approximate annual cost change</t>
  </si>
  <si>
    <t>Net Cost movement per year</t>
  </si>
  <si>
    <t>Year 1</t>
  </si>
  <si>
    <t>Year 2</t>
  </si>
  <si>
    <t>Year 3</t>
  </si>
  <si>
    <t>Year 4</t>
  </si>
  <si>
    <t>Practice Data</t>
  </si>
  <si>
    <t>Practice GP FTE (10 sessions)</t>
  </si>
  <si>
    <t>Practice GP FTE (based on 9 sessions)</t>
  </si>
  <si>
    <t>Practice GP FTE (based on 10 sessions)</t>
  </si>
  <si>
    <t>GP FTE (enter EITHER option, not both)</t>
  </si>
  <si>
    <t>First year costs</t>
  </si>
  <si>
    <t>Total Nurse time change</t>
  </si>
  <si>
    <t>Total HCA time change</t>
  </si>
  <si>
    <t>Total Admin time change</t>
  </si>
  <si>
    <t>Extended hours worked per week</t>
  </si>
  <si>
    <t>Weeks of extended hours per year</t>
  </si>
  <si>
    <t>Additional variable costs per year</t>
  </si>
  <si>
    <t>Consults</t>
  </si>
  <si>
    <t>Revenue Forgone</t>
  </si>
  <si>
    <t>Click here for instructions on how to enter this information</t>
  </si>
  <si>
    <t>Starting from the top, identify the first line within your P&amp;L which isn't a total.</t>
  </si>
  <si>
    <t>Enter the name of this line into the Account column.</t>
  </si>
  <si>
    <t>Enter the amount of the line into the Amount column.</t>
  </si>
  <si>
    <t>In the Type column, from the dropdown select the option which best reflects that line</t>
  </si>
  <si>
    <t>In the Activity column, from the dropdown select the option which best reflects that line.</t>
  </si>
  <si>
    <t>Instructions</t>
  </si>
  <si>
    <t>P&amp;L Information</t>
  </si>
  <si>
    <t>For costs, don't include staff costs. The time implications on staff are collated separately</t>
  </si>
  <si>
    <t>Co-pay</t>
  </si>
  <si>
    <t>GP Time</t>
  </si>
  <si>
    <t>Nurse Time</t>
  </si>
  <si>
    <t>Cost of Existing Proactive Care (LTC etc) for these patients</t>
  </si>
  <si>
    <t>Standard GP consult length (in minutes)</t>
  </si>
  <si>
    <t>Standard Nurse consult length (in minutes)</t>
  </si>
  <si>
    <t>GP Activity Revenue</t>
  </si>
  <si>
    <t>Consultations per year from GPs</t>
  </si>
  <si>
    <t>Only enter data into Blue cells</t>
  </si>
  <si>
    <t>Nurse Activity Revenue</t>
  </si>
  <si>
    <r>
      <t xml:space="preserve">If the value of the line changes when people </t>
    </r>
    <r>
      <rPr>
        <b/>
        <sz val="11"/>
        <color theme="1"/>
        <rFont val="Calibri"/>
        <family val="2"/>
        <scheme val="minor"/>
      </rPr>
      <t>provide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services,</t>
    </r>
    <r>
      <rPr>
        <sz val="11"/>
        <color theme="1"/>
        <rFont val="Calibri"/>
        <family val="2"/>
        <scheme val="minor"/>
      </rPr>
      <t xml:space="preserve"> it is likely variable.</t>
    </r>
  </si>
  <si>
    <t>If the value of the line is largely unaffected by providing services, it is likely fixed.</t>
  </si>
  <si>
    <t>Changes in Nurse Practitioner Time</t>
  </si>
  <si>
    <t>Total Nurse Practitioner time change</t>
  </si>
  <si>
    <t>YOC</t>
  </si>
  <si>
    <t>Do you want to reflect YOC in the model summary?</t>
  </si>
  <si>
    <t>Additional Resource per meeting</t>
  </si>
  <si>
    <t>Patients to be discussed per MDT</t>
  </si>
  <si>
    <t>Reallocation of tasks</t>
  </si>
  <si>
    <t>Expected months to achieve target from start date</t>
  </si>
  <si>
    <t>Additional labour cost</t>
  </si>
  <si>
    <t>e.g. Restocking consult rooms</t>
  </si>
  <si>
    <t>Desciption</t>
  </si>
  <si>
    <t>Ongoing costs</t>
  </si>
  <si>
    <t>Net Profit</t>
  </si>
  <si>
    <t>Total</t>
  </si>
  <si>
    <t>Change in Revenue</t>
  </si>
  <si>
    <t>Change in Expenses</t>
  </si>
  <si>
    <t>FTE Attending</t>
  </si>
  <si>
    <t>MDT Meetings</t>
  </si>
  <si>
    <t>Year</t>
  </si>
  <si>
    <t>Resolved on the phone</t>
  </si>
  <si>
    <t>External provider @ $100 per hour</t>
  </si>
  <si>
    <t>Additional HCA capacity (mins)</t>
  </si>
  <si>
    <t>Various tasks moved from nurse to HCA</t>
  </si>
  <si>
    <t>Yes</t>
  </si>
  <si>
    <t>Development of care plan with patient + 15 min paperwork</t>
  </si>
  <si>
    <t>GP consults</t>
  </si>
  <si>
    <t>Nurse consults</t>
  </si>
  <si>
    <t>Brief contacts (e.g. phone call)</t>
  </si>
  <si>
    <t>https://www.erlang.com/calculator/call/</t>
  </si>
  <si>
    <t>Hours</t>
  </si>
  <si>
    <t>Ongoing annual release time</t>
  </si>
  <si>
    <t>First year one-off release time</t>
  </si>
  <si>
    <t>Ongoing review and improvement of services</t>
  </si>
  <si>
    <t>Additional nurse revenue</t>
  </si>
  <si>
    <t>Additional/foregone revenue</t>
  </si>
  <si>
    <t>Year 1 only</t>
  </si>
  <si>
    <t>Copay</t>
  </si>
  <si>
    <t>Salaries - GP</t>
  </si>
  <si>
    <t>Clinical supplies</t>
  </si>
  <si>
    <t>Expenses fixed e.g. rent</t>
  </si>
  <si>
    <t>whiteboard</t>
  </si>
  <si>
    <t>marker pens</t>
  </si>
  <si>
    <t xml:space="preserve">Call reporting </t>
  </si>
  <si>
    <t>https://www.callcentrehelper.com/tools/erlang-calculator/</t>
  </si>
  <si>
    <t>Capitation Funding</t>
  </si>
  <si>
    <t>Salaries - HCA</t>
  </si>
  <si>
    <t>Salaries - Nurse</t>
  </si>
  <si>
    <t>Salaries - Admin</t>
  </si>
  <si>
    <t>Other variable expenses e.g. electricity, repairs &amp; maintainance etc</t>
  </si>
  <si>
    <t>For a guide on how may staff might be needed to answer the phone use one of these calculators</t>
  </si>
  <si>
    <t>Time required for assessments</t>
  </si>
  <si>
    <t>Total revenue per month from assessments</t>
  </si>
  <si>
    <t>Simple</t>
  </si>
  <si>
    <t>Full</t>
  </si>
  <si>
    <t>Start date of changes</t>
  </si>
  <si>
    <t>Covid-19 Funding</t>
  </si>
  <si>
    <t>Number of Maori and Pacific patients</t>
  </si>
  <si>
    <t>Number of Dep 5 patients (not Maori or Pacific)</t>
  </si>
  <si>
    <t>Number of over 65s (not Dep 5, Maori or Pacific)</t>
  </si>
  <si>
    <t>Payment per high needs ESU</t>
  </si>
  <si>
    <t>Payment per other ESU</t>
  </si>
  <si>
    <t>Minimum payment</t>
  </si>
  <si>
    <t>Additional payment for 50% high needs ESU</t>
  </si>
  <si>
    <t>Total one-off payment</t>
  </si>
  <si>
    <t>Change in GP time (per month)</t>
  </si>
  <si>
    <t>Change in nurse time (per month)</t>
  </si>
  <si>
    <t>Staff Release Time</t>
  </si>
  <si>
    <t>Other expenses not counted elsewhere</t>
  </si>
  <si>
    <t>Start date of analysis</t>
  </si>
  <si>
    <t>End date of analysis</t>
  </si>
  <si>
    <t>Year of analysis</t>
  </si>
  <si>
    <t>Triage resolved</t>
  </si>
  <si>
    <t>Covid-19 Assessments</t>
  </si>
  <si>
    <t>Consultations per year from Nurses</t>
  </si>
  <si>
    <t>Seasonality</t>
  </si>
  <si>
    <t>Consultations</t>
  </si>
  <si>
    <t>Total activity</t>
  </si>
  <si>
    <t>GP Consult</t>
  </si>
  <si>
    <t>Nurse Consult</t>
  </si>
  <si>
    <t>Advice Only</t>
  </si>
  <si>
    <t>Script</t>
  </si>
  <si>
    <t>Advice only</t>
  </si>
  <si>
    <t>Telephone consult</t>
  </si>
  <si>
    <t>Patient Portal</t>
  </si>
  <si>
    <t>Virtual consults</t>
  </si>
  <si>
    <t>Total consults</t>
  </si>
  <si>
    <t>Target %</t>
  </si>
  <si>
    <t>Average virtual consult fee (ex GST)</t>
  </si>
  <si>
    <t>Change in GP revenue</t>
  </si>
  <si>
    <t>Change in Nurse revenue</t>
  </si>
  <si>
    <t>Total change in revenue</t>
  </si>
  <si>
    <t>Changes in Revenue</t>
  </si>
  <si>
    <t>Minutes per virtual consult</t>
  </si>
  <si>
    <t>Reduction due to Covid-19</t>
  </si>
  <si>
    <t>Revenue for a GP assessment</t>
  </si>
  <si>
    <t>GP time per assessment (in minutes)</t>
  </si>
  <si>
    <t>Nurse time per assessment (in minutes)</t>
  </si>
  <si>
    <t>Average call duration (minutes)</t>
  </si>
  <si>
    <t>Additional Reception time to support GP Triage (seconds)</t>
  </si>
  <si>
    <t>Monday</t>
  </si>
  <si>
    <t>Tuesday</t>
  </si>
  <si>
    <t>Wednesday</t>
  </si>
  <si>
    <t>Thursday</t>
  </si>
  <si>
    <t>Friday</t>
  </si>
  <si>
    <t>Saturday</t>
  </si>
  <si>
    <t>Sunday</t>
  </si>
  <si>
    <t>Time allocated (minutes)</t>
  </si>
  <si>
    <t>% of time allocated for triage that isn't utilised</t>
  </si>
  <si>
    <t>Triage revenue by outcome (ex GST)</t>
  </si>
  <si>
    <t>Triage demand by day of the week</t>
  </si>
  <si>
    <t># of Huddles per week</t>
  </si>
  <si>
    <t>Length of huddle (minutes)</t>
  </si>
  <si>
    <t>Start date</t>
  </si>
  <si>
    <t>Months to full implementation</t>
  </si>
  <si>
    <t>MDT Meetings per month</t>
  </si>
  <si>
    <t>Length of MDT meeting (minutes)</t>
  </si>
  <si>
    <t>HCA Hourly rate</t>
  </si>
  <si>
    <t>Current HCA FTE</t>
  </si>
  <si>
    <t>Eligible population as a % of total</t>
  </si>
  <si>
    <t>*User means patients who are registered, activated, and are actively using portal services.</t>
  </si>
  <si>
    <t>Number of months to achieve target</t>
  </si>
  <si>
    <t>FTE change per person active on the portal</t>
  </si>
  <si>
    <t>This modelling uses Sapere analysis to determine the impact of portal</t>
  </si>
  <si>
    <t>Current portal users* (% of Enrolled population)</t>
  </si>
  <si>
    <t>Eligible population 18+</t>
  </si>
  <si>
    <t>Year of care</t>
  </si>
  <si>
    <t>Number of care plans already developed</t>
  </si>
  <si>
    <t>New care plans to be completed</t>
  </si>
  <si>
    <t>Enter either the % or number of patients requiring a care plan</t>
  </si>
  <si>
    <t>Number of care plans required</t>
  </si>
  <si>
    <t>Number of patients already receiving proactive care</t>
  </si>
  <si>
    <t>Average annual cost per care plan</t>
  </si>
  <si>
    <t>Occurances per year</t>
  </si>
  <si>
    <t>Average funding provided per person</t>
  </si>
  <si>
    <t>Change in funding</t>
  </si>
  <si>
    <t>Change in co-pay revenue</t>
  </si>
  <si>
    <t>Consultations saved per year</t>
  </si>
  <si>
    <t>Change in co-pay related to care plan activity</t>
  </si>
  <si>
    <t>Additional rate for after hours</t>
  </si>
  <si>
    <t>% increase in staff rates after hours</t>
  </si>
  <si>
    <t>This approach assumes that staff will work the same hours but starting later to achieve the extended hours required</t>
  </si>
  <si>
    <t>% reduction in consultations - first period of disruption</t>
  </si>
  <si>
    <t>% reduction in consultations - second period of disruption</t>
  </si>
  <si>
    <t>Length of first period (months)</t>
  </si>
  <si>
    <t>Length of second period (months)</t>
  </si>
  <si>
    <t>Reduction in consultations during Covid-19 disruption</t>
  </si>
  <si>
    <t>Pre-Covid-19</t>
  </si>
  <si>
    <t>First Period</t>
  </si>
  <si>
    <t>Second Period</t>
  </si>
  <si>
    <t>% of consultations face to face</t>
  </si>
  <si>
    <t>% of consultations done virtually</t>
  </si>
  <si>
    <t>Patients triaged</t>
  </si>
  <si>
    <t>Virtual consults per annum</t>
  </si>
  <si>
    <t>Expected months to achieve target</t>
  </si>
  <si>
    <t>Face to face consults</t>
  </si>
  <si>
    <t>Covid-19 Disruption period</t>
  </si>
  <si>
    <t>Annual licence fees</t>
  </si>
  <si>
    <t>Expected number of funded assessments done</t>
  </si>
  <si>
    <t>% face to face</t>
  </si>
  <si>
    <t>Outcomes - during normal circumstances</t>
  </si>
  <si>
    <t>Start of second period of disruption (Levels 1 &amp; 2)</t>
  </si>
  <si>
    <t>Start date for first period of Covid-19 disruption (Levels 3 &amp; 4)</t>
  </si>
  <si>
    <t>Outcomes - during Covid-19 Levels 3 &amp; 4</t>
  </si>
  <si>
    <t>Triage Calls completed in period</t>
  </si>
  <si>
    <t>Triage volumes for Covid-19 (levels 3 &amp; 4)</t>
  </si>
  <si>
    <t>% Increase</t>
  </si>
  <si>
    <t>Covid-19</t>
  </si>
  <si>
    <t>Normal</t>
  </si>
  <si>
    <t>GP Consultations forgone per year</t>
  </si>
  <si>
    <t>Annual weeks leave per FTE</t>
  </si>
  <si>
    <t>first period</t>
  </si>
  <si>
    <t>second period</t>
  </si>
  <si>
    <t>Change in GP face to face consults per month</t>
  </si>
  <si>
    <t>Change in GP virtual consults per month</t>
  </si>
  <si>
    <t>GP triage during Covid-19 - first period</t>
  </si>
  <si>
    <t>No</t>
  </si>
  <si>
    <t>Current % of consults being done by phone or VC</t>
  </si>
  <si>
    <t>Virtual consults (phone and video conference)</t>
  </si>
  <si>
    <t>Changes in how GP consultations are provided</t>
  </si>
  <si>
    <t>Change in Nurse face to face consults per month</t>
  </si>
  <si>
    <t>Total Revenue change per month</t>
  </si>
  <si>
    <t>Change in Nurse revenue per month</t>
  </si>
  <si>
    <t xml:space="preserve">Reduction in time from reduced consultations </t>
  </si>
  <si>
    <t>Change in GP revenue per month from face to face</t>
  </si>
  <si>
    <t>Change in GP revenue per month from virtual</t>
  </si>
  <si>
    <t>Reduction in time from reduced face to face consultations</t>
  </si>
  <si>
    <t>Change in time from virtual consult</t>
  </si>
  <si>
    <t>Virtual consults during Covid-19</t>
  </si>
  <si>
    <t>Value of Net Time Changes</t>
  </si>
  <si>
    <t>Value of change in staff time</t>
  </si>
  <si>
    <t>Change in Net Profit</t>
  </si>
  <si>
    <t>Change in staff time (FTE)</t>
  </si>
  <si>
    <t>Expenditure</t>
  </si>
  <si>
    <t>Staff</t>
  </si>
  <si>
    <t>HCAs</t>
  </si>
  <si>
    <t>Total staff costs</t>
  </si>
  <si>
    <t>All other expenses</t>
  </si>
  <si>
    <t>Total Expenses</t>
  </si>
  <si>
    <t>Variance from Base</t>
  </si>
  <si>
    <t>SUMMARY</t>
  </si>
  <si>
    <t>TIME CHANGES BY COMPONENT</t>
  </si>
  <si>
    <t>Annual hours worked per FTE</t>
  </si>
  <si>
    <t>Hours per FTE</t>
  </si>
  <si>
    <t>Recognise time savings?</t>
  </si>
  <si>
    <t>Include Covid-19 Impacts in model?</t>
  </si>
  <si>
    <t>Wage Subsidy</t>
  </si>
  <si>
    <t>FTE</t>
  </si>
  <si>
    <t>Total wage subsidy</t>
  </si>
  <si>
    <t>Subsidy per week (assume rate for staff &gt;20 hours per week)</t>
  </si>
  <si>
    <t>Eligible for wage subsidy?</t>
  </si>
  <si>
    <t>Covid-19 Wage subsidy</t>
  </si>
  <si>
    <t>Covid-19 Disruption - first period</t>
  </si>
  <si>
    <t>Covid-19 Disruption - second period</t>
  </si>
  <si>
    <t>Covid-19 Subsidies</t>
  </si>
  <si>
    <t>Covid-19 MoH funding</t>
  </si>
  <si>
    <t>SUMMARY OF CHANGES BY COMPONENT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</si>
</sst>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_-;[Red]\(#,##0\);_-* &quot;-&quot;??_-;_-@_-"/>
    <numFmt numFmtId="166" formatCode="_-* #,##0.00_-;\(#,##0.00\)_-;_-* &quot;-&quot;??_-;_-@_-"/>
    <numFmt numFmtId="167" formatCode="0;[Red]0"/>
    <numFmt numFmtId="168" formatCode="#,##0;[Red]#,##0"/>
    <numFmt numFmtId="169" formatCode="#,##0.00_-;\(#,##0.00\)_-;_-* &quot;-&quot;??_-;_-@_-"/>
    <numFmt numFmtId="170" formatCode="#,##0.00000_-;\(#,##0.00000\)_-;_-* &quot;-&quot;??_-;_-@_-"/>
    <numFmt numFmtId="171" formatCode="_-* #,##0_-;[Red]\(#,##0\)\ ;_-* &quot;-&quot;??_-;_-@_-"/>
    <numFmt numFmtId="172" formatCode="0.0;[Red]0.0"/>
    <numFmt numFmtId="173" formatCode="_-* #,##0_-;\(#,##0\);_-* &quot;-&quot;??_-;_-@_-"/>
    <numFmt numFmtId="174" formatCode="_-* #,##0_-;\(#,##0\)\ ;_-* &quot;-&quot;??_-;_-@_-"/>
    <numFmt numFmtId="175" formatCode="#,##0.0_-;[Red]\(#,##0.0\);_-* &quot;-&quot;??_-;_-@_-"/>
    <numFmt numFmtId="176" formatCode="#,##0_-;[Red]\(#,##0\);_-* &quot;-&quot;??_-;_-@_-"/>
    <numFmt numFmtId="177" formatCode="_-* #,##0.00_-;[Red]\(#,##0.00\)\ ;_-* &quot;-&quot;??_-;_-@_-"/>
    <numFmt numFmtId="178" formatCode="0_ ;\-0\ "/>
    <numFmt numFmtId="179" formatCode="&quot;$&quot;#,##0.00"/>
    <numFmt numFmtId="180" formatCode="#,##0_-;\(#,##0\)_-;_-* &quot;-&quot;??_-;_-@_-"/>
    <numFmt numFmtId="181" formatCode="0.0%"/>
    <numFmt numFmtId="182" formatCode="&quot;$&quot;#,##0"/>
    <numFmt numFmtId="185" formatCode="#,##0.0"/>
    <numFmt numFmtId="187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0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62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43" fontId="0" fillId="2" borderId="0" xfId="0" applyNumberFormat="1" applyFill="1" applyAlignment="1">
      <alignment vertical="center"/>
    </xf>
    <xf numFmtId="1" fontId="4" fillId="0" borderId="2" xfId="2" applyNumberFormat="1" applyFont="1" applyFill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Alignment="1">
      <alignment horizontal="left" vertical="center"/>
    </xf>
    <xf numFmtId="43" fontId="0" fillId="0" borderId="1" xfId="1" applyNumberFormat="1" applyFont="1" applyFill="1" applyBorder="1" applyAlignment="1">
      <alignment horizontal="left" vertical="center"/>
    </xf>
    <xf numFmtId="165" fontId="0" fillId="0" borderId="1" xfId="0" applyNumberForma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0" fillId="2" borderId="0" xfId="0" applyNumberForma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9" fontId="0" fillId="3" borderId="1" xfId="2" applyFont="1" applyFill="1" applyBorder="1" applyAlignment="1" applyProtection="1">
      <alignment horizontal="center" vertical="center"/>
      <protection locked="0"/>
    </xf>
    <xf numFmtId="9" fontId="4" fillId="3" borderId="3" xfId="2" applyFont="1" applyFill="1" applyBorder="1" applyAlignment="1" applyProtection="1">
      <alignment horizontal="center" vertical="center"/>
      <protection locked="0"/>
    </xf>
    <xf numFmtId="9" fontId="4" fillId="3" borderId="1" xfId="2" applyFont="1" applyFill="1" applyBorder="1" applyAlignment="1" applyProtection="1">
      <alignment horizontal="center" vertical="center"/>
      <protection locked="0"/>
    </xf>
    <xf numFmtId="165" fontId="4" fillId="3" borderId="1" xfId="0" applyNumberFormat="1" applyFont="1" applyFill="1" applyBorder="1" applyAlignment="1" applyProtection="1">
      <alignment vertical="center"/>
      <protection locked="0"/>
    </xf>
    <xf numFmtId="165" fontId="2" fillId="0" borderId="1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43" fontId="5" fillId="0" borderId="1" xfId="1" applyNumberFormat="1" applyFont="1" applyFill="1" applyBorder="1" applyAlignment="1">
      <alignment horizontal="left" vertical="center"/>
    </xf>
    <xf numFmtId="43" fontId="5" fillId="0" borderId="1" xfId="1" applyNumberFormat="1" applyFont="1" applyFill="1" applyBorder="1" applyAlignment="1">
      <alignment horizontal="right" vertical="center"/>
    </xf>
    <xf numFmtId="43" fontId="0" fillId="3" borderId="1" xfId="1" applyNumberFormat="1" applyFont="1" applyFill="1" applyBorder="1" applyAlignment="1" applyProtection="1">
      <alignment horizontal="left" vertical="center"/>
      <protection locked="0"/>
    </xf>
    <xf numFmtId="0" fontId="6" fillId="2" borderId="0" xfId="3" applyFill="1" applyAlignment="1">
      <alignment horizontal="center" vertical="center"/>
    </xf>
    <xf numFmtId="43" fontId="0" fillId="2" borderId="0" xfId="1" applyFont="1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43" fontId="0" fillId="0" borderId="1" xfId="1" applyNumberFormat="1" applyFont="1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49" fontId="0" fillId="2" borderId="0" xfId="0" applyNumberFormat="1" applyFont="1" applyFill="1" applyBorder="1" applyAlignment="1">
      <alignment horizontal="left" vertical="center" indent="1"/>
    </xf>
    <xf numFmtId="43" fontId="2" fillId="0" borderId="1" xfId="1" applyNumberFormat="1" applyFont="1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43" fontId="5" fillId="0" borderId="1" xfId="1" applyNumberFormat="1" applyFont="1" applyFill="1" applyBorder="1" applyAlignment="1">
      <alignment horizontal="left" vertical="center" indent="1"/>
    </xf>
    <xf numFmtId="43" fontId="0" fillId="3" borderId="1" xfId="1" applyNumberFormat="1" applyFont="1" applyFill="1" applyBorder="1" applyAlignment="1" applyProtection="1">
      <alignment horizontal="left" vertical="center" indent="1"/>
      <protection locked="0"/>
    </xf>
    <xf numFmtId="0" fontId="0" fillId="2" borderId="0" xfId="0" applyFill="1" applyAlignment="1">
      <alignment horizontal="left" indent="1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horizontal="center" vertical="center"/>
    </xf>
    <xf numFmtId="14" fontId="0" fillId="4" borderId="0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66" fontId="7" fillId="4" borderId="0" xfId="1" applyNumberFormat="1" applyFont="1" applyFill="1" applyBorder="1" applyAlignment="1">
      <alignment vertical="center" wrapText="1"/>
    </xf>
    <xf numFmtId="0" fontId="7" fillId="4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68" fontId="0" fillId="0" borderId="1" xfId="0" applyNumberFormat="1" applyFill="1" applyBorder="1" applyAlignment="1">
      <alignment horizontal="center" vertical="center"/>
    </xf>
    <xf numFmtId="9" fontId="0" fillId="0" borderId="1" xfId="2" applyFont="1" applyFill="1" applyBorder="1" applyAlignment="1" applyProtection="1">
      <alignment horizontal="center" vertical="center"/>
      <protection locked="0"/>
    </xf>
    <xf numFmtId="169" fontId="0" fillId="0" borderId="1" xfId="0" applyNumberFormat="1" applyFill="1" applyBorder="1" applyAlignment="1">
      <alignment horizontal="center" vertical="center"/>
    </xf>
    <xf numFmtId="17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3" fontId="0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171" fontId="0" fillId="0" borderId="1" xfId="0" applyNumberFormat="1" applyFill="1" applyBorder="1" applyAlignment="1">
      <alignment vertical="center"/>
    </xf>
    <xf numFmtId="165" fontId="0" fillId="2" borderId="0" xfId="0" applyNumberFormat="1" applyFill="1" applyAlignment="1">
      <alignment vertical="center"/>
    </xf>
    <xf numFmtId="172" fontId="0" fillId="0" borderId="1" xfId="0" applyNumberFormat="1" applyFill="1" applyBorder="1" applyAlignment="1">
      <alignment horizontal="center" vertical="center"/>
    </xf>
    <xf numFmtId="173" fontId="0" fillId="0" borderId="1" xfId="0" applyNumberFormat="1" applyFill="1" applyBorder="1" applyAlignment="1">
      <alignment vertical="center"/>
    </xf>
    <xf numFmtId="174" fontId="0" fillId="0" borderId="1" xfId="0" applyNumberFormat="1" applyFill="1" applyBorder="1" applyAlignment="1">
      <alignment vertical="center"/>
    </xf>
    <xf numFmtId="175" fontId="0" fillId="5" borderId="1" xfId="0" applyNumberFormat="1" applyFill="1" applyBorder="1" applyAlignment="1">
      <alignment horizontal="center" vertical="center"/>
    </xf>
    <xf numFmtId="175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left" vertical="center" indent="1"/>
    </xf>
    <xf numFmtId="165" fontId="0" fillId="0" borderId="1" xfId="0" applyNumberFormat="1" applyFont="1" applyFill="1" applyBorder="1" applyAlignment="1">
      <alignment horizontal="left" vertical="center" indent="2"/>
    </xf>
    <xf numFmtId="165" fontId="0" fillId="0" borderId="1" xfId="0" applyNumberFormat="1" applyFont="1" applyFill="1" applyBorder="1" applyAlignment="1">
      <alignment horizontal="left" vertical="center" indent="3"/>
    </xf>
    <xf numFmtId="165" fontId="0" fillId="0" borderId="1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14" fontId="0" fillId="0" borderId="1" xfId="0" applyNumberForma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3" fontId="0" fillId="0" borderId="1" xfId="1" applyNumberFormat="1" applyFont="1" applyFill="1" applyBorder="1" applyAlignment="1">
      <alignment horizontal="right" vertical="center"/>
    </xf>
    <xf numFmtId="0" fontId="0" fillId="4" borderId="0" xfId="0" applyFill="1" applyAlignment="1">
      <alignment horizontal="center"/>
    </xf>
    <xf numFmtId="0" fontId="0" fillId="0" borderId="1" xfId="0" applyFill="1" applyBorder="1" applyAlignment="1">
      <alignment horizontal="left" vertical="center" indent="2"/>
    </xf>
    <xf numFmtId="165" fontId="2" fillId="0" borderId="1" xfId="0" applyNumberFormat="1" applyFont="1" applyFill="1" applyBorder="1" applyAlignment="1">
      <alignment horizontal="left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43" fontId="0" fillId="0" borderId="1" xfId="1" applyFont="1" applyFill="1" applyBorder="1" applyAlignment="1">
      <alignment vertical="center"/>
    </xf>
    <xf numFmtId="4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8" fontId="0" fillId="0" borderId="1" xfId="1" applyNumberFormat="1" applyFont="1" applyFill="1" applyBorder="1" applyAlignment="1" applyProtection="1">
      <alignment horizontal="center" vertical="center"/>
    </xf>
    <xf numFmtId="0" fontId="0" fillId="5" borderId="1" xfId="0" applyFill="1" applyBorder="1" applyAlignment="1">
      <alignment horizontal="left" vertical="center" indent="1"/>
    </xf>
    <xf numFmtId="43" fontId="0" fillId="5" borderId="1" xfId="1" applyNumberFormat="1" applyFont="1" applyFill="1" applyBorder="1" applyAlignment="1" applyProtection="1">
      <alignment horizontal="left" vertical="center" indent="1"/>
      <protection locked="0"/>
    </xf>
    <xf numFmtId="165" fontId="4" fillId="5" borderId="1" xfId="0" applyNumberFormat="1" applyFont="1" applyFill="1" applyBorder="1" applyAlignment="1" applyProtection="1">
      <alignment vertical="center"/>
      <protection locked="0"/>
    </xf>
    <xf numFmtId="43" fontId="2" fillId="0" borderId="1" xfId="1" applyNumberFormat="1" applyFont="1" applyFill="1" applyBorder="1" applyAlignment="1">
      <alignment horizontal="left" vertical="center"/>
    </xf>
    <xf numFmtId="43" fontId="2" fillId="0" borderId="1" xfId="1" applyNumberFormat="1" applyFont="1" applyFill="1" applyBorder="1" applyAlignment="1">
      <alignment horizontal="left" vertical="center"/>
    </xf>
    <xf numFmtId="43" fontId="0" fillId="5" borderId="1" xfId="1" applyNumberFormat="1" applyFont="1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43" fontId="2" fillId="5" borderId="1" xfId="1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ill="1" applyBorder="1" applyAlignment="1" applyProtection="1">
      <alignment vertical="center"/>
      <protection locked="0"/>
    </xf>
    <xf numFmtId="43" fontId="1" fillId="5" borderId="1" xfId="1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vertical="center"/>
      <protection locked="0"/>
    </xf>
    <xf numFmtId="0" fontId="0" fillId="3" borderId="1" xfId="2" applyNumberFormat="1" applyFont="1" applyFill="1" applyBorder="1" applyAlignment="1" applyProtection="1">
      <alignment horizontal="center" vertical="center"/>
      <protection locked="0"/>
    </xf>
    <xf numFmtId="14" fontId="0" fillId="5" borderId="1" xfId="0" applyNumberFormat="1" applyFill="1" applyBorder="1" applyAlignment="1" applyProtection="1">
      <alignment horizontal="center" vertical="center"/>
      <protection locked="0"/>
    </xf>
    <xf numFmtId="43" fontId="0" fillId="2" borderId="0" xfId="0" applyNumberFormat="1" applyFill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43" fontId="2" fillId="0" borderId="1" xfId="1" applyNumberFormat="1" applyFont="1" applyFill="1" applyBorder="1" applyAlignment="1">
      <alignment horizontal="left" vertical="center"/>
    </xf>
    <xf numFmtId="43" fontId="10" fillId="8" borderId="1" xfId="1" applyNumberFormat="1" applyFont="1" applyFill="1" applyBorder="1" applyAlignment="1" applyProtection="1">
      <alignment horizontal="left" vertical="center"/>
      <protection locked="0"/>
    </xf>
    <xf numFmtId="175" fontId="10" fillId="8" borderId="1" xfId="0" applyNumberFormat="1" applyFon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43" fontId="0" fillId="0" borderId="1" xfId="1" applyNumberFormat="1" applyFont="1" applyFill="1" applyBorder="1" applyAlignment="1" applyProtection="1">
      <alignment horizontal="left" vertical="center" indent="1"/>
      <protection locked="0"/>
    </xf>
    <xf numFmtId="3" fontId="0" fillId="5" borderId="1" xfId="0" applyNumberFormat="1" applyFill="1" applyBorder="1" applyAlignment="1" applyProtection="1">
      <alignment horizontal="center" vertical="center"/>
      <protection locked="0"/>
    </xf>
    <xf numFmtId="179" fontId="0" fillId="5" borderId="1" xfId="0" applyNumberFormat="1" applyFill="1" applyBorder="1" applyAlignment="1" applyProtection="1">
      <alignment horizontal="center" vertical="center"/>
      <protection locked="0"/>
    </xf>
    <xf numFmtId="9" fontId="0" fillId="5" borderId="1" xfId="2" applyFont="1" applyFill="1" applyBorder="1" applyAlignment="1" applyProtection="1">
      <alignment horizontal="center" vertical="center"/>
      <protection locked="0"/>
    </xf>
    <xf numFmtId="178" fontId="0" fillId="5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43" fontId="2" fillId="0" borderId="1" xfId="1" applyNumberFormat="1" applyFont="1" applyFill="1" applyBorder="1" applyAlignment="1">
      <alignment horizontal="left" vertical="center"/>
    </xf>
    <xf numFmtId="44" fontId="0" fillId="0" borderId="1" xfId="4" applyFont="1" applyFill="1" applyBorder="1" applyAlignment="1">
      <alignment horizontal="center" vertical="center"/>
    </xf>
    <xf numFmtId="44" fontId="0" fillId="0" borderId="4" xfId="4" applyFont="1" applyFill="1" applyBorder="1" applyAlignment="1">
      <alignment horizontal="center" vertical="center"/>
    </xf>
    <xf numFmtId="0" fontId="0" fillId="2" borderId="0" xfId="0" applyFill="1" applyBorder="1"/>
    <xf numFmtId="0" fontId="0" fillId="4" borderId="0" xfId="0" applyFill="1" applyBorder="1"/>
    <xf numFmtId="0" fontId="6" fillId="2" borderId="0" xfId="3" applyFill="1"/>
    <xf numFmtId="165" fontId="4" fillId="0" borderId="1" xfId="0" applyNumberFormat="1" applyFont="1" applyFill="1" applyBorder="1" applyAlignment="1" applyProtection="1">
      <alignment horizontal="center" vertical="center"/>
      <protection locked="0"/>
    </xf>
    <xf numFmtId="16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>
      <alignment horizontal="left" vertical="center" indent="1"/>
    </xf>
    <xf numFmtId="0" fontId="0" fillId="0" borderId="6" xfId="0" applyFill="1" applyBorder="1" applyAlignment="1">
      <alignment horizontal="left" vertical="center" indent="1"/>
    </xf>
    <xf numFmtId="0" fontId="0" fillId="0" borderId="2" xfId="0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0" fillId="0" borderId="1" xfId="0" applyFill="1" applyBorder="1" applyAlignment="1">
      <alignment horizontal="center" vertical="center"/>
    </xf>
    <xf numFmtId="43" fontId="2" fillId="0" borderId="1" xfId="1" applyNumberFormat="1" applyFon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173" fontId="0" fillId="0" borderId="1" xfId="0" applyNumberFormat="1" applyBorder="1" applyAlignment="1">
      <alignment vertical="center"/>
    </xf>
    <xf numFmtId="43" fontId="0" fillId="0" borderId="1" xfId="1" quotePrefix="1" applyFont="1" applyBorder="1" applyAlignment="1">
      <alignment horizontal="left" vertical="center" indent="1"/>
    </xf>
    <xf numFmtId="43" fontId="0" fillId="0" borderId="1" xfId="1" applyFont="1" applyBorder="1" applyAlignment="1">
      <alignment horizontal="left" vertical="center" indent="1"/>
    </xf>
    <xf numFmtId="164" fontId="0" fillId="2" borderId="0" xfId="0" applyNumberFormat="1" applyFill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3" fontId="2" fillId="0" borderId="1" xfId="1" applyFont="1" applyBorder="1" applyAlignment="1">
      <alignment horizontal="left" vertical="center"/>
    </xf>
    <xf numFmtId="43" fontId="0" fillId="0" borderId="1" xfId="1" applyFont="1" applyBorder="1" applyAlignment="1">
      <alignment horizontal="left" vertical="center"/>
    </xf>
    <xf numFmtId="44" fontId="0" fillId="0" borderId="1" xfId="4" applyFont="1" applyBorder="1" applyAlignment="1">
      <alignment horizontal="left" vertical="center"/>
    </xf>
    <xf numFmtId="0" fontId="0" fillId="0" borderId="1" xfId="0" quotePrefix="1" applyBorder="1" applyAlignment="1">
      <alignment horizontal="left" vertical="center"/>
    </xf>
    <xf numFmtId="171" fontId="0" fillId="7" borderId="1" xfId="0" applyNumberFormat="1" applyFill="1" applyBorder="1" applyAlignment="1">
      <alignment vertical="center"/>
    </xf>
    <xf numFmtId="171" fontId="0" fillId="4" borderId="0" xfId="0" applyNumberFormat="1" applyFill="1" applyAlignment="1">
      <alignment horizontal="center" vertical="center"/>
    </xf>
    <xf numFmtId="43" fontId="0" fillId="0" borderId="1" xfId="1" quotePrefix="1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/>
    </xf>
    <xf numFmtId="0" fontId="0" fillId="0" borderId="1" xfId="0" quotePrefix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171" fontId="0" fillId="2" borderId="0" xfId="0" applyNumberFormat="1" applyFill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182" fontId="0" fillId="5" borderId="1" xfId="0" applyNumberForma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1" fontId="12" fillId="0" borderId="1" xfId="0" applyNumberFormat="1" applyFont="1" applyFill="1" applyBorder="1" applyAlignment="1">
      <alignment vertical="center"/>
    </xf>
    <xf numFmtId="177" fontId="12" fillId="0" borderId="1" xfId="0" applyNumberFormat="1" applyFont="1" applyFill="1" applyBorder="1" applyAlignment="1">
      <alignment vertical="center"/>
    </xf>
    <xf numFmtId="43" fontId="0" fillId="0" borderId="1" xfId="1" quotePrefix="1" applyNumberFormat="1" applyFont="1" applyFill="1" applyBorder="1" applyAlignment="1">
      <alignment vertical="center"/>
    </xf>
    <xf numFmtId="43" fontId="0" fillId="0" borderId="1" xfId="1" applyNumberFormat="1" applyFont="1" applyFill="1" applyBorder="1" applyAlignment="1">
      <alignment vertical="center"/>
    </xf>
    <xf numFmtId="43" fontId="0" fillId="4" borderId="6" xfId="1" applyNumberFormat="1" applyFont="1" applyFill="1" applyBorder="1" applyAlignment="1">
      <alignment horizontal="left" vertical="center"/>
    </xf>
    <xf numFmtId="9" fontId="0" fillId="4" borderId="6" xfId="2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vertical="center"/>
    </xf>
    <xf numFmtId="0" fontId="0" fillId="5" borderId="1" xfId="0" applyNumberFormat="1" applyFill="1" applyBorder="1" applyAlignment="1" applyProtection="1">
      <alignment horizontal="center" vertical="center"/>
      <protection locked="0"/>
    </xf>
    <xf numFmtId="43" fontId="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indent="1"/>
    </xf>
    <xf numFmtId="0" fontId="0" fillId="0" borderId="1" xfId="0" applyBorder="1" applyAlignment="1">
      <alignment vertical="center"/>
    </xf>
    <xf numFmtId="1" fontId="4" fillId="5" borderId="1" xfId="1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3" fontId="0" fillId="0" borderId="1" xfId="1" quotePrefix="1" applyNumberFormat="1" applyFont="1" applyFill="1" applyBorder="1" applyAlignment="1">
      <alignment horizontal="left" vertical="center"/>
    </xf>
    <xf numFmtId="179" fontId="0" fillId="3" borderId="1" xfId="0" applyNumberFormat="1" applyFill="1" applyBorder="1" applyAlignment="1" applyProtection="1">
      <alignment horizontal="center" vertical="center"/>
      <protection locked="0"/>
    </xf>
    <xf numFmtId="8" fontId="0" fillId="2" borderId="0" xfId="0" applyNumberFormat="1" applyFill="1" applyAlignment="1">
      <alignment horizontal="center" vertical="center"/>
    </xf>
    <xf numFmtId="8" fontId="0" fillId="5" borderId="1" xfId="0" applyNumberFormat="1" applyFill="1" applyBorder="1" applyAlignment="1">
      <alignment horizontal="center" vertical="center"/>
    </xf>
    <xf numFmtId="174" fontId="0" fillId="0" borderId="0" xfId="0" applyNumberForma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43" fontId="0" fillId="2" borderId="0" xfId="0" applyNumberFormat="1" applyFill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12" fillId="0" borderId="1" xfId="2" applyFont="1" applyFill="1" applyBorder="1" applyAlignment="1">
      <alignment vertical="center"/>
    </xf>
    <xf numFmtId="14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81" fontId="12" fillId="0" borderId="1" xfId="2" applyNumberFormat="1" applyFont="1" applyFill="1" applyBorder="1" applyAlignment="1">
      <alignment vertical="center"/>
    </xf>
    <xf numFmtId="9" fontId="0" fillId="3" borderId="1" xfId="0" applyNumberFormat="1" applyFill="1" applyBorder="1" applyAlignment="1" applyProtection="1">
      <alignment horizontal="center" vertical="center"/>
      <protection locked="0"/>
    </xf>
    <xf numFmtId="9" fontId="0" fillId="0" borderId="1" xfId="0" applyNumberFormat="1" applyFill="1" applyBorder="1" applyAlignment="1" applyProtection="1">
      <alignment horizontal="center" vertical="center"/>
      <protection locked="0"/>
    </xf>
    <xf numFmtId="43" fontId="0" fillId="0" borderId="0" xfId="1" applyNumberFormat="1" applyFont="1" applyFill="1" applyBorder="1" applyAlignment="1">
      <alignment horizontal="left" vertical="center"/>
    </xf>
    <xf numFmtId="43" fontId="1" fillId="0" borderId="1" xfId="1" applyFont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indent="1"/>
    </xf>
    <xf numFmtId="0" fontId="0" fillId="0" borderId="6" xfId="0" applyFill="1" applyBorder="1" applyAlignment="1">
      <alignment horizontal="left" vertical="center" indent="1"/>
    </xf>
    <xf numFmtId="0" fontId="0" fillId="0" borderId="2" xfId="0" applyFill="1" applyBorder="1" applyAlignment="1">
      <alignment horizontal="left" vertical="center" indent="1"/>
    </xf>
    <xf numFmtId="0" fontId="6" fillId="6" borderId="3" xfId="3" applyFill="1" applyBorder="1" applyAlignment="1">
      <alignment horizontal="left" vertical="center" indent="1"/>
    </xf>
    <xf numFmtId="0" fontId="6" fillId="6" borderId="6" xfId="3" applyFill="1" applyBorder="1" applyAlignment="1">
      <alignment horizontal="left" vertical="center" indent="1"/>
    </xf>
    <xf numFmtId="0" fontId="6" fillId="6" borderId="2" xfId="3" applyFill="1" applyBorder="1" applyAlignment="1">
      <alignment horizontal="left" vertical="center" indent="1"/>
    </xf>
    <xf numFmtId="0" fontId="8" fillId="0" borderId="3" xfId="3" applyFont="1" applyFill="1" applyBorder="1" applyAlignment="1">
      <alignment horizontal="left" vertical="center" indent="1"/>
    </xf>
    <xf numFmtId="0" fontId="8" fillId="0" borderId="6" xfId="3" applyFont="1" applyFill="1" applyBorder="1" applyAlignment="1">
      <alignment horizontal="left" vertical="center" indent="1"/>
    </xf>
    <xf numFmtId="0" fontId="8" fillId="0" borderId="2" xfId="3" applyFont="1" applyFill="1" applyBorder="1" applyAlignment="1">
      <alignment horizontal="left" vertical="center" inden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2" fillId="0" borderId="1" xfId="1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 indent="1"/>
    </xf>
    <xf numFmtId="0" fontId="0" fillId="0" borderId="8" xfId="0" applyFill="1" applyBorder="1" applyAlignment="1">
      <alignment horizontal="left" vertical="center" wrapText="1" indent="1"/>
    </xf>
    <xf numFmtId="0" fontId="0" fillId="0" borderId="9" xfId="0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left" vertical="center" wrapText="1" indent="1"/>
    </xf>
    <xf numFmtId="43" fontId="2" fillId="9" borderId="1" xfId="1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43" fontId="0" fillId="0" borderId="1" xfId="1" applyNumberFormat="1" applyFont="1" applyFill="1" applyBorder="1" applyAlignment="1">
      <alignment horizontal="center" vertical="center"/>
    </xf>
    <xf numFmtId="43" fontId="2" fillId="0" borderId="3" xfId="1" applyNumberFormat="1" applyFont="1" applyFill="1" applyBorder="1" applyAlignment="1">
      <alignment horizontal="center" vertical="center"/>
    </xf>
    <xf numFmtId="43" fontId="2" fillId="0" borderId="2" xfId="1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quotePrefix="1" applyFill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79" fontId="0" fillId="0" borderId="1" xfId="0" applyNumberFormat="1" applyFill="1" applyBorder="1" applyAlignment="1" applyProtection="1">
      <alignment horizontal="center" vertical="center"/>
      <protection locked="0"/>
    </xf>
    <xf numFmtId="165" fontId="0" fillId="2" borderId="0" xfId="0" applyNumberFormat="1" applyFill="1" applyBorder="1" applyAlignment="1">
      <alignment horizontal="center" vertical="center"/>
    </xf>
    <xf numFmtId="43" fontId="0" fillId="2" borderId="0" xfId="0" applyNumberFormat="1" applyFill="1" applyBorder="1" applyAlignment="1">
      <alignment horizontal="center" vertical="center"/>
    </xf>
    <xf numFmtId="174" fontId="0" fillId="7" borderId="1" xfId="0" applyNumberFormat="1" applyFill="1" applyBorder="1" applyAlignment="1">
      <alignment vertical="center"/>
    </xf>
    <xf numFmtId="9" fontId="0" fillId="8" borderId="1" xfId="0" applyNumberFormat="1" applyFill="1" applyBorder="1" applyAlignment="1" applyProtection="1">
      <alignment horizontal="center" vertical="center"/>
      <protection locked="0"/>
    </xf>
    <xf numFmtId="171" fontId="2" fillId="0" borderId="1" xfId="0" applyNumberFormat="1" applyFont="1" applyFill="1" applyBorder="1" applyAlignment="1">
      <alignment vertical="center"/>
    </xf>
    <xf numFmtId="165" fontId="0" fillId="2" borderId="0" xfId="0" applyNumberFormat="1" applyFill="1"/>
    <xf numFmtId="165" fontId="2" fillId="0" borderId="3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2" borderId="0" xfId="0" applyFill="1" applyAlignment="1"/>
    <xf numFmtId="0" fontId="0" fillId="0" borderId="1" xfId="0" applyFill="1" applyBorder="1" applyAlignment="1">
      <alignment horizontal="left" indent="1"/>
    </xf>
    <xf numFmtId="165" fontId="2" fillId="0" borderId="1" xfId="0" applyNumberFormat="1" applyFont="1" applyFill="1" applyBorder="1" applyAlignment="1">
      <alignment horizontal="left" vertical="center" indent="1"/>
    </xf>
    <xf numFmtId="0" fontId="13" fillId="8" borderId="1" xfId="0" applyFont="1" applyFill="1" applyBorder="1" applyAlignment="1">
      <alignment horizontal="center"/>
    </xf>
    <xf numFmtId="185" fontId="0" fillId="5" borderId="1" xfId="0" applyNumberFormat="1" applyFill="1" applyBorder="1" applyAlignment="1" applyProtection="1">
      <alignment horizontal="center" vertical="center"/>
      <protection locked="0"/>
    </xf>
    <xf numFmtId="187" fontId="2" fillId="0" borderId="1" xfId="4" applyNumberFormat="1" applyFont="1" applyBorder="1" applyAlignment="1">
      <alignment horizontal="left" vertical="center"/>
    </xf>
  </cellXfs>
  <cellStyles count="5">
    <cellStyle name="Comma" xfId="1" builtinId="3"/>
    <cellStyle name="Currency" xfId="4" builtinId="4"/>
    <cellStyle name="Hyperlink" xfId="3" builtinId="8"/>
    <cellStyle name="Normal" xfId="0" builtinId="0"/>
    <cellStyle name="Percent" xfId="2" builtinId="5"/>
  </cellStyles>
  <dxfs count="2">
    <dxf>
      <fill>
        <patternFill>
          <bgColor rgb="FFFF7C8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BDD7EE"/>
      <color rgb="FFBFBFBF"/>
      <color rgb="FFFF7C80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Movement of Financial</a:t>
            </a:r>
            <a:r>
              <a:rPr lang="en-NZ" baseline="0"/>
              <a:t> Metrics</a:t>
            </a:r>
            <a:endParaRPr lang="en-NZ"/>
          </a:p>
        </c:rich>
      </c:tx>
      <c:layout>
        <c:manualLayout>
          <c:xMode val="edge"/>
          <c:yMode val="edge"/>
          <c:x val="0.15950518279046774"/>
          <c:y val="4.05268361050072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25109658587111"/>
          <c:y val="0.16652476955547488"/>
          <c:w val="0.83725295757775497"/>
          <c:h val="0.617879482762692"/>
        </c:manualLayout>
      </c:layout>
      <c:lineChart>
        <c:grouping val="standar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 Total Operational Revenue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Summary!$B$5:$F$5</c:f>
              <c:strCache>
                <c:ptCount val="5"/>
                <c:pt idx="0">
                  <c:v>Base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Summary!$B$9:$F$9</c:f>
              <c:numCache>
                <c:formatCode>_-* #,##0_-;[Red]\(#,##0\);_-* "-"??_-;_-@_-</c:formatCode>
                <c:ptCount val="5"/>
                <c:pt idx="0">
                  <c:v>2380000</c:v>
                </c:pt>
                <c:pt idx="1">
                  <c:v>2401293.3260869565</c:v>
                </c:pt>
                <c:pt idx="2">
                  <c:v>2309649.0379022425</c:v>
                </c:pt>
                <c:pt idx="3">
                  <c:v>2344689.2461708691</c:v>
                </c:pt>
                <c:pt idx="4">
                  <c:v>2336193.459504202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E5-4BB0-924A-028EE2EB5EDC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 Total Expenses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Summary!$B$5:$F$5</c:f>
              <c:strCache>
                <c:ptCount val="5"/>
                <c:pt idx="0">
                  <c:v>Base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Summary!$B$21:$F$21</c:f>
              <c:numCache>
                <c:formatCode>_-* #,##0_-;[Red]\(#,##0\);_-* "-"??_-;_-@_-</c:formatCode>
                <c:ptCount val="5"/>
                <c:pt idx="0">
                  <c:v>2300000</c:v>
                </c:pt>
                <c:pt idx="1">
                  <c:v>2300000</c:v>
                </c:pt>
                <c:pt idx="2">
                  <c:v>2333764.0016228375</c:v>
                </c:pt>
                <c:pt idx="3">
                  <c:v>2321512.133766538</c:v>
                </c:pt>
                <c:pt idx="4">
                  <c:v>2309454.120946025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E5-4BB0-924A-028EE2EB5EDC}"/>
            </c:ext>
          </c:extLst>
        </c:ser>
        <c:ser>
          <c:idx val="3"/>
          <c:order val="2"/>
          <c:tx>
            <c:strRef>
              <c:f>Summary!$A$25</c:f>
              <c:strCache>
                <c:ptCount val="1"/>
                <c:pt idx="0">
                  <c:v> Net Profit Before Tax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Summary!$B$5:$F$5</c:f>
              <c:strCache>
                <c:ptCount val="5"/>
                <c:pt idx="0">
                  <c:v>Base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Summary!$B$25:$F$25</c:f>
              <c:numCache>
                <c:formatCode>_-* #,##0_-;[Red]\(#,##0\);_-* "-"??_-;_-@_-</c:formatCode>
                <c:ptCount val="5"/>
                <c:pt idx="0">
                  <c:v>80000</c:v>
                </c:pt>
                <c:pt idx="1">
                  <c:v>101293.32608695654</c:v>
                </c:pt>
                <c:pt idx="2">
                  <c:v>-24114.963720594998</c:v>
                </c:pt>
                <c:pt idx="3">
                  <c:v>23177.112404331099</c:v>
                </c:pt>
                <c:pt idx="4">
                  <c:v>26739.338558176998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E5-4BB0-924A-028EE2EB5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7603848"/>
        <c:axId val="647603192"/>
      </c:lineChart>
      <c:catAx>
        <c:axId val="64760384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603192"/>
        <c:crosses val="autoZero"/>
        <c:auto val="1"/>
        <c:lblAlgn val="ctr"/>
        <c:lblOffset val="100"/>
        <c:noMultiLvlLbl val="0"/>
      </c:catAx>
      <c:valAx>
        <c:axId val="647603192"/>
        <c:scaling>
          <c:orientation val="minMax"/>
        </c:scaling>
        <c:delete val="0"/>
        <c:axPos val="l"/>
        <c:numFmt formatCode="_-* #,##0_-;[Red]\(#,##0\)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60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220133</xdr:colOff>
      <xdr:row>27</xdr:row>
      <xdr:rowOff>71967</xdr:rowOff>
    </xdr:from>
    <xdr:to>
      <xdr:col>5</xdr:col>
      <xdr:colOff>711199</xdr:colOff>
      <xdr:row>40</xdr:row>
      <xdr:rowOff>67733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38C92ED-DDFA-4F36-A63A-82E1726203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17</xdr:row>
      <xdr:rowOff>114300</xdr:rowOff>
    </xdr:from>
    <xdr:to>
      <xdr:col>3</xdr:col>
      <xdr:colOff>838200</xdr:colOff>
      <xdr:row>19</xdr:row>
      <xdr:rowOff>133351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C650252D-96EB-4A55-8513-BB176B849326}"/>
            </a:ext>
          </a:extLst>
        </xdr:cNvPr>
        <xdr:cNvCxnSpPr/>
      </xdr:nvCxnSpPr>
      <xdr:spPr>
        <a:xfrm flipV="1">
          <a:off x="5381625" y="3314700"/>
          <a:ext cx="790575" cy="55245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19</xdr:row>
      <xdr:rowOff>123825</xdr:rowOff>
    </xdr:from>
    <xdr:to>
      <xdr:col>3</xdr:col>
      <xdr:colOff>904875</xdr:colOff>
      <xdr:row>19</xdr:row>
      <xdr:rowOff>133350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B5F3432-11A3-42A2-B940-BE8ED387E4FF}"/>
            </a:ext>
          </a:extLst>
        </xdr:cNvPr>
        <xdr:cNvCxnSpPr/>
      </xdr:nvCxnSpPr>
      <xdr:spPr>
        <a:xfrm flipV="1">
          <a:off x="4029075" y="1228725"/>
          <a:ext cx="84772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19</xdr:row>
      <xdr:rowOff>123825</xdr:rowOff>
    </xdr:from>
    <xdr:to>
      <xdr:col>3</xdr:col>
      <xdr:colOff>809625</xdr:colOff>
      <xdr:row>21</xdr:row>
      <xdr:rowOff>133350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B17DFDF-DE9B-4201-B2D7-42237B3B06B0}"/>
            </a:ext>
          </a:extLst>
        </xdr:cNvPr>
        <xdr:cNvCxnSpPr/>
      </xdr:nvCxnSpPr>
      <xdr:spPr>
        <a:xfrm>
          <a:off x="4019550" y="1228725"/>
          <a:ext cx="762000" cy="5619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70597</xdr:colOff>
      <xdr:row>21</xdr:row>
      <xdr:rowOff>135034</xdr:rowOff>
    </xdr:from>
    <xdr:to>
      <xdr:col>7</xdr:col>
      <xdr:colOff>523875</xdr:colOff>
      <xdr:row>21</xdr:row>
      <xdr:rowOff>142875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4CE7C90A-4084-4098-9E74-B56A9D8838AE}"/>
            </a:ext>
          </a:extLst>
        </xdr:cNvPr>
        <xdr:cNvCxnSpPr/>
      </xdr:nvCxnSpPr>
      <xdr:spPr>
        <a:xfrm>
          <a:off x="8414497" y="1792384"/>
          <a:ext cx="453278" cy="784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16</xdr:row>
      <xdr:rowOff>123825</xdr:rowOff>
    </xdr:from>
    <xdr:to>
      <xdr:col>7</xdr:col>
      <xdr:colOff>523875</xdr:colOff>
      <xdr:row>17</xdr:row>
      <xdr:rowOff>95250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BD4E4C21-F3D6-4F28-BA96-0B40D4A16D6B}"/>
            </a:ext>
          </a:extLst>
        </xdr:cNvPr>
        <xdr:cNvCxnSpPr/>
      </xdr:nvCxnSpPr>
      <xdr:spPr>
        <a:xfrm flipV="1">
          <a:off x="10401300" y="3057525"/>
          <a:ext cx="4286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17</xdr:row>
      <xdr:rowOff>95250</xdr:rowOff>
    </xdr:from>
    <xdr:to>
      <xdr:col>7</xdr:col>
      <xdr:colOff>504825</xdr:colOff>
      <xdr:row>17</xdr:row>
      <xdr:rowOff>104775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168D3EC0-9924-438A-9FBD-01EBFA19DAFF}"/>
            </a:ext>
          </a:extLst>
        </xdr:cNvPr>
        <xdr:cNvCxnSpPr/>
      </xdr:nvCxnSpPr>
      <xdr:spPr>
        <a:xfrm>
          <a:off x="10391775" y="3295650"/>
          <a:ext cx="4191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21</xdr:row>
      <xdr:rowOff>142875</xdr:rowOff>
    </xdr:from>
    <xdr:to>
      <xdr:col>7</xdr:col>
      <xdr:colOff>495300</xdr:colOff>
      <xdr:row>22</xdr:row>
      <xdr:rowOff>123825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CCCEC78D-F4AF-40E8-A4F3-79CE5D7375BE}"/>
            </a:ext>
          </a:extLst>
        </xdr:cNvPr>
        <xdr:cNvCxnSpPr/>
      </xdr:nvCxnSpPr>
      <xdr:spPr>
        <a:xfrm>
          <a:off x="8410575" y="1800225"/>
          <a:ext cx="428625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21</xdr:row>
      <xdr:rowOff>142875</xdr:rowOff>
    </xdr:from>
    <xdr:to>
      <xdr:col>7</xdr:col>
      <xdr:colOff>495300</xdr:colOff>
      <xdr:row>23</xdr:row>
      <xdr:rowOff>114300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D6B61169-9852-431F-BE3E-0CC44F70CF17}"/>
            </a:ext>
          </a:extLst>
        </xdr:cNvPr>
        <xdr:cNvCxnSpPr/>
      </xdr:nvCxnSpPr>
      <xdr:spPr>
        <a:xfrm>
          <a:off x="8410575" y="1800225"/>
          <a:ext cx="428625" cy="5238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29</xdr:row>
      <xdr:rowOff>114300</xdr:rowOff>
    </xdr:from>
    <xdr:to>
      <xdr:col>3</xdr:col>
      <xdr:colOff>838200</xdr:colOff>
      <xdr:row>31</xdr:row>
      <xdr:rowOff>133351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EDD0B86C-B7E1-4FD5-BF8A-C92BC1334928}"/>
            </a:ext>
          </a:extLst>
        </xdr:cNvPr>
        <xdr:cNvCxnSpPr/>
      </xdr:nvCxnSpPr>
      <xdr:spPr>
        <a:xfrm flipV="1">
          <a:off x="5189201" y="4971088"/>
          <a:ext cx="790575" cy="557839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31</xdr:row>
      <xdr:rowOff>123825</xdr:rowOff>
    </xdr:from>
    <xdr:to>
      <xdr:col>3</xdr:col>
      <xdr:colOff>904875</xdr:colOff>
      <xdr:row>31</xdr:row>
      <xdr:rowOff>133350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20C7D3B7-DBA7-47D0-ACBA-80E17F2AFDF0}"/>
            </a:ext>
          </a:extLst>
        </xdr:cNvPr>
        <xdr:cNvCxnSpPr/>
      </xdr:nvCxnSpPr>
      <xdr:spPr>
        <a:xfrm flipV="1">
          <a:off x="5198726" y="5519401"/>
          <a:ext cx="84772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31</xdr:row>
      <xdr:rowOff>123825</xdr:rowOff>
    </xdr:from>
    <xdr:to>
      <xdr:col>3</xdr:col>
      <xdr:colOff>809625</xdr:colOff>
      <xdr:row>33</xdr:row>
      <xdr:rowOff>133350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2C1C0513-FDCC-4A66-90F1-0CE705549767}"/>
            </a:ext>
          </a:extLst>
        </xdr:cNvPr>
        <xdr:cNvCxnSpPr/>
      </xdr:nvCxnSpPr>
      <xdr:spPr>
        <a:xfrm>
          <a:off x="5189201" y="5519401"/>
          <a:ext cx="762000" cy="54831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70597</xdr:colOff>
      <xdr:row>33</xdr:row>
      <xdr:rowOff>135034</xdr:rowOff>
    </xdr:from>
    <xdr:to>
      <xdr:col>7</xdr:col>
      <xdr:colOff>523875</xdr:colOff>
      <xdr:row>33</xdr:row>
      <xdr:rowOff>142875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6EE0B341-FAD2-488A-9AF8-F75F3465B10B}"/>
            </a:ext>
          </a:extLst>
        </xdr:cNvPr>
        <xdr:cNvCxnSpPr/>
      </xdr:nvCxnSpPr>
      <xdr:spPr>
        <a:xfrm>
          <a:off x="9645627" y="6069398"/>
          <a:ext cx="453278" cy="784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28</xdr:row>
      <xdr:rowOff>123825</xdr:rowOff>
    </xdr:from>
    <xdr:to>
      <xdr:col>7</xdr:col>
      <xdr:colOff>523875</xdr:colOff>
      <xdr:row>29</xdr:row>
      <xdr:rowOff>95250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2D49B6C-D6E4-47B1-BEFD-77665DEBBF6E}"/>
            </a:ext>
          </a:extLst>
        </xdr:cNvPr>
        <xdr:cNvCxnSpPr/>
      </xdr:nvCxnSpPr>
      <xdr:spPr>
        <a:xfrm flipV="1">
          <a:off x="9670280" y="4711219"/>
          <a:ext cx="428625" cy="240819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29</xdr:row>
      <xdr:rowOff>95250</xdr:rowOff>
    </xdr:from>
    <xdr:to>
      <xdr:col>7</xdr:col>
      <xdr:colOff>504825</xdr:colOff>
      <xdr:row>29</xdr:row>
      <xdr:rowOff>104775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DBCA08E0-BE99-4A1E-9221-FA17EA8941F1}"/>
            </a:ext>
          </a:extLst>
        </xdr:cNvPr>
        <xdr:cNvCxnSpPr/>
      </xdr:nvCxnSpPr>
      <xdr:spPr>
        <a:xfrm>
          <a:off x="9660755" y="4952038"/>
          <a:ext cx="4191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33</xdr:row>
      <xdr:rowOff>142875</xdr:rowOff>
    </xdr:from>
    <xdr:to>
      <xdr:col>7</xdr:col>
      <xdr:colOff>495300</xdr:colOff>
      <xdr:row>34</xdr:row>
      <xdr:rowOff>123825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BAB435DC-BD54-48A2-9D6A-EE9BD5A421C9}"/>
            </a:ext>
          </a:extLst>
        </xdr:cNvPr>
        <xdr:cNvCxnSpPr/>
      </xdr:nvCxnSpPr>
      <xdr:spPr>
        <a:xfrm>
          <a:off x="9641705" y="6077239"/>
          <a:ext cx="428625" cy="25034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33</xdr:row>
      <xdr:rowOff>142875</xdr:rowOff>
    </xdr:from>
    <xdr:to>
      <xdr:col>7</xdr:col>
      <xdr:colOff>495300</xdr:colOff>
      <xdr:row>35</xdr:row>
      <xdr:rowOff>114300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9C291ADB-A117-4FD0-9A06-5442CAEDDA89}"/>
            </a:ext>
          </a:extLst>
        </xdr:cNvPr>
        <xdr:cNvCxnSpPr/>
      </xdr:nvCxnSpPr>
      <xdr:spPr>
        <a:xfrm>
          <a:off x="9641705" y="6077239"/>
          <a:ext cx="428625" cy="51021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callcentrehelper.com/tools/erlang-calculator/" TargetMode="External"/><Relationship Id="rId1" Type="http://schemas.openxmlformats.org/officeDocument/2006/relationships/hyperlink" Target="https://www.erlang.com/calculator/call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13F3C-618F-4D91-8332-EBEE5E023CC5}">
  <dimension ref="A1:AF149"/>
  <sheetViews>
    <sheetView tabSelected="1" zoomScale="79" zoomScaleNormal="90" workbookViewId="0">
      <selection activeCell="G9" sqref="G9"/>
    </sheetView>
  </sheetViews>
  <sheetFormatPr defaultColWidth="9.109375" defaultRowHeight="21" customHeight="1" x14ac:dyDescent="0.3"/>
  <cols>
    <col min="1" max="1" width="41.21875" style="1" customWidth="1"/>
    <col min="2" max="7" width="14.77734375" style="1" customWidth="1"/>
    <col min="8" max="8" width="9.109375" style="1"/>
    <col min="9" max="9" width="55.109375" style="1" bestFit="1" customWidth="1"/>
    <col min="10" max="15" width="12.5546875" style="1" customWidth="1"/>
    <col min="16" max="16" width="55.44140625" style="1" bestFit="1" customWidth="1"/>
    <col min="17" max="32" width="12" style="1" customWidth="1"/>
    <col min="33" max="16384" width="9.109375" style="1"/>
  </cols>
  <sheetData>
    <row r="1" spans="1:32" ht="25.8" x14ac:dyDescent="0.5">
      <c r="A1" s="259" t="s">
        <v>379</v>
      </c>
      <c r="B1" s="259"/>
      <c r="C1" s="259"/>
      <c r="D1" s="259"/>
      <c r="E1" s="259"/>
      <c r="F1" s="259"/>
      <c r="H1" s="33"/>
      <c r="I1" s="259" t="s">
        <v>395</v>
      </c>
      <c r="J1" s="259"/>
      <c r="K1" s="259"/>
      <c r="L1" s="259"/>
      <c r="M1" s="259"/>
      <c r="P1" s="259" t="s">
        <v>380</v>
      </c>
      <c r="Q1" s="259"/>
      <c r="R1" s="259"/>
      <c r="S1" s="259"/>
      <c r="T1" s="259"/>
    </row>
    <row r="2" spans="1:32" ht="21" customHeight="1" x14ac:dyDescent="0.3">
      <c r="H2" s="33"/>
    </row>
    <row r="3" spans="1:32" ht="21" customHeight="1" x14ac:dyDescent="0.3">
      <c r="A3" s="253" t="s">
        <v>30</v>
      </c>
      <c r="B3" s="254"/>
      <c r="C3" s="254"/>
      <c r="D3" s="254"/>
      <c r="E3" s="254"/>
      <c r="F3" s="255"/>
      <c r="H3" s="33"/>
    </row>
    <row r="4" spans="1:32" ht="21" customHeight="1" x14ac:dyDescent="0.3">
      <c r="B4" s="256"/>
      <c r="C4" s="256"/>
      <c r="D4" s="256"/>
      <c r="E4" s="256"/>
      <c r="F4" s="256"/>
      <c r="G4" s="256"/>
      <c r="H4" s="33"/>
      <c r="J4" s="209" t="s">
        <v>198</v>
      </c>
      <c r="K4" s="209"/>
      <c r="L4" s="209"/>
      <c r="M4" s="209"/>
      <c r="Q4" s="198">
        <v>1</v>
      </c>
      <c r="R4" s="198">
        <v>1</v>
      </c>
      <c r="S4" s="198">
        <v>1</v>
      </c>
      <c r="T4" s="198">
        <v>1</v>
      </c>
      <c r="U4" s="198">
        <v>2</v>
      </c>
      <c r="V4" s="198">
        <v>2</v>
      </c>
      <c r="W4" s="198">
        <v>2</v>
      </c>
      <c r="X4" s="198">
        <v>2</v>
      </c>
      <c r="Y4" s="198">
        <v>3</v>
      </c>
      <c r="Z4" s="198">
        <v>3</v>
      </c>
      <c r="AA4" s="198">
        <v>3</v>
      </c>
      <c r="AB4" s="198">
        <v>3</v>
      </c>
      <c r="AC4" s="198">
        <v>4</v>
      </c>
      <c r="AD4" s="198">
        <v>4</v>
      </c>
      <c r="AE4" s="198">
        <v>4</v>
      </c>
      <c r="AF4" s="198">
        <v>4</v>
      </c>
    </row>
    <row r="5" spans="1:32" ht="21" customHeight="1" x14ac:dyDescent="0.3">
      <c r="B5" s="198" t="s">
        <v>116</v>
      </c>
      <c r="C5" s="90">
        <v>1</v>
      </c>
      <c r="D5" s="22">
        <v>2</v>
      </c>
      <c r="E5" s="90">
        <v>3</v>
      </c>
      <c r="F5" s="90">
        <v>4</v>
      </c>
      <c r="H5" s="33"/>
      <c r="I5" s="29" t="s">
        <v>194</v>
      </c>
      <c r="J5" s="90">
        <v>1</v>
      </c>
      <c r="K5" s="22">
        <v>2</v>
      </c>
      <c r="L5" s="90">
        <v>3</v>
      </c>
      <c r="M5" s="90">
        <v>4</v>
      </c>
      <c r="P5" s="29" t="s">
        <v>136</v>
      </c>
      <c r="Q5" s="96" t="s">
        <v>5</v>
      </c>
      <c r="R5" s="96" t="s">
        <v>6</v>
      </c>
      <c r="S5" s="96" t="s">
        <v>7</v>
      </c>
      <c r="T5" s="96" t="s">
        <v>16</v>
      </c>
      <c r="U5" s="96" t="s">
        <v>5</v>
      </c>
      <c r="V5" s="96" t="s">
        <v>6</v>
      </c>
      <c r="W5" s="96" t="s">
        <v>7</v>
      </c>
      <c r="X5" s="96" t="s">
        <v>16</v>
      </c>
      <c r="Y5" s="96" t="s">
        <v>5</v>
      </c>
      <c r="Z5" s="96" t="s">
        <v>6</v>
      </c>
      <c r="AA5" s="96" t="s">
        <v>7</v>
      </c>
      <c r="AB5" s="96" t="s">
        <v>16</v>
      </c>
      <c r="AC5" s="96" t="s">
        <v>5</v>
      </c>
      <c r="AD5" s="96" t="s">
        <v>6</v>
      </c>
      <c r="AE5" s="96" t="s">
        <v>7</v>
      </c>
      <c r="AF5" s="96" t="s">
        <v>16</v>
      </c>
    </row>
    <row r="6" spans="1:32" ht="21" customHeight="1" x14ac:dyDescent="0.3">
      <c r="A6" s="83" t="s">
        <v>102</v>
      </c>
      <c r="B6" s="19">
        <f>'Master Data'!O4</f>
        <v>2000000</v>
      </c>
      <c r="C6" s="29">
        <f>$B6+Projection!BE36</f>
        <v>2000000</v>
      </c>
      <c r="D6" s="29">
        <f>$B6+Projection!BF36</f>
        <v>2000000</v>
      </c>
      <c r="E6" s="29">
        <f>$B6+Projection!BG36</f>
        <v>2000000</v>
      </c>
      <c r="F6" s="29">
        <f>$B6+Projection!BH36</f>
        <v>2000000</v>
      </c>
      <c r="H6" s="33"/>
      <c r="I6" s="29" t="str">
        <f>Projection!B19</f>
        <v>Covid-19 Disruption - first period</v>
      </c>
      <c r="J6" s="75">
        <f>SUMIF(Projection!$B$19:$B$34,$I6,Projection!BE$19:BE$34)</f>
        <v>-16800</v>
      </c>
      <c r="K6" s="75">
        <f>SUMIF(Projection!$B$19:$B$34,$I6,Projection!BF$19:BF$34)</f>
        <v>-33600</v>
      </c>
      <c r="L6" s="75">
        <f>SUMIF(Projection!$B$19:$B$34,$I6,Projection!BG$19:BG$34)</f>
        <v>0</v>
      </c>
      <c r="M6" s="75">
        <f>SUMIF(Projection!$B$19:$B$34,$I6,Projection!BH$19:BH$34)</f>
        <v>0</v>
      </c>
      <c r="P6" s="29" t="str">
        <f>Projection!B19</f>
        <v>Covid-19 Disruption - first period</v>
      </c>
      <c r="Q6" s="75">
        <f>INDEX(Projection!$BE$64:$BH$79,MATCH(Summary!$P6,Projection!$B$64:$B$79,0),MATCH(Summary!Q$4,Projection!$BE$3:$BH$3))</f>
        <v>0</v>
      </c>
      <c r="R6" s="75">
        <f>INDEX(Projection!$BE$104:$BH$119,MATCH(Summary!$P6,Projection!$B$64:$B$79,0),MATCH(Summary!R$4,Projection!$BE$3:$BH$3))</f>
        <v>0</v>
      </c>
      <c r="S6" s="75">
        <f>INDEX(Projection!$BE$124:$BH$139,MATCH(Summary!$P6,Projection!$B$64:$B$79,0),MATCH(Summary!S$4,Projection!$BE$3:$BH$3))</f>
        <v>0</v>
      </c>
      <c r="T6" s="75">
        <f>INDEX(Projection!$BE$144:$BH$159,MATCH(Summary!$P6,Projection!$B$64:$B$79,0),MATCH(Summary!T$4,Projection!$BE$3:$BH$3))</f>
        <v>0</v>
      </c>
      <c r="U6" s="75">
        <f>INDEX(Projection!$BE$64:$BH$79,MATCH(Summary!$P6,Projection!$B$64:$B$79,0),MATCH(Summary!U$4,Projection!$BE$3:$BH$3))</f>
        <v>0</v>
      </c>
      <c r="V6" s="75">
        <f>INDEX(Projection!$BE$104:$BH$119,MATCH(Summary!$P6,Projection!$B$64:$B$79,0),MATCH(Summary!V$4,Projection!$BE$3:$BH$3))</f>
        <v>0</v>
      </c>
      <c r="W6" s="75">
        <f>INDEX(Projection!$BE$124:$BH$139,MATCH(Summary!$P6,Projection!$B$64:$B$79,0),MATCH(Summary!W$4,Projection!$BE$3:$BH$3))</f>
        <v>0</v>
      </c>
      <c r="X6" s="75">
        <f>INDEX(Projection!$BE$144:$BH$159,MATCH(Summary!$P6,Projection!$B$64:$B$79,0),MATCH(Summary!X$4,Projection!$BE$3:$BH$3))</f>
        <v>0</v>
      </c>
      <c r="Y6" s="75">
        <f>INDEX(Projection!$BE$64:$BH$79,MATCH(Summary!$P6,Projection!$B$64:$B$79,0),MATCH(Summary!Y$4,Projection!$BE$3:$BH$3))</f>
        <v>0</v>
      </c>
      <c r="Z6" s="75">
        <f>INDEX(Projection!$BE$104:$BH$119,MATCH(Summary!$P6,Projection!$B$64:$B$79,0),MATCH(Summary!Z$4,Projection!$BE$3:$BH$3))</f>
        <v>0</v>
      </c>
      <c r="AA6" s="75">
        <f>INDEX(Projection!$BE$124:$BH$139,MATCH(Summary!$P6,Projection!$B$64:$B$79,0),MATCH(Summary!AA$4,Projection!$BE$3:$BH$3))</f>
        <v>0</v>
      </c>
      <c r="AB6" s="75">
        <f>INDEX(Projection!$BE$144:$BH$159,MATCH(Summary!$P6,Projection!$B$64:$B$79,0),MATCH(Summary!AB$4,Projection!$BE$3:$BH$3))</f>
        <v>0</v>
      </c>
      <c r="AC6" s="75">
        <f>INDEX(Projection!$BE$64:$BH$79,MATCH(Summary!$P6,Projection!$B$64:$B$79,0),MATCH(Summary!AC$4,Projection!$BE$3:$BH$3))</f>
        <v>0</v>
      </c>
      <c r="AD6" s="75">
        <f>INDEX(Projection!$BE$104:$BH$119,MATCH(Summary!$P6,Projection!$B$64:$B$79,0),MATCH(Summary!AD$4,Projection!$BE$3:$BH$3))</f>
        <v>0</v>
      </c>
      <c r="AE6" s="75">
        <f>INDEX(Projection!$BE$124:$BH$139,MATCH(Summary!$P6,Projection!$B$64:$B$79,0),MATCH(Summary!AE$4,Projection!$BE$3:$BH$3))</f>
        <v>0</v>
      </c>
      <c r="AF6" s="75">
        <f>INDEX(Projection!$BE$144:$BH$159,MATCH(Summary!$P6,Projection!$B$64:$B$79,0),MATCH(Summary!AF$4,Projection!$BE$3:$BH$3))</f>
        <v>0</v>
      </c>
    </row>
    <row r="7" spans="1:32" ht="21" customHeight="1" x14ac:dyDescent="0.3">
      <c r="A7" s="83" t="s">
        <v>20</v>
      </c>
      <c r="B7" s="19">
        <f>'Master Data'!O3</f>
        <v>380000</v>
      </c>
      <c r="C7" s="29">
        <f>$B7+Projection!BE37</f>
        <v>363143.32608695654</v>
      </c>
      <c r="D7" s="29">
        <f>$B7+Projection!BF37</f>
        <v>306349.03790224256</v>
      </c>
      <c r="E7" s="29">
        <f>$B7+Projection!BG37</f>
        <v>344689.24617086892</v>
      </c>
      <c r="F7" s="29">
        <f>$B7+Projection!BH37</f>
        <v>336193.45950420224</v>
      </c>
      <c r="H7" s="33"/>
      <c r="I7" s="29" t="str">
        <f>Projection!B20</f>
        <v>Covid-19 Disruption - second period</v>
      </c>
      <c r="J7" s="75">
        <f>SUMIF(Projection!$B$19:$B$34,$I7,Projection!BE$19:BE$34)</f>
        <v>0</v>
      </c>
      <c r="K7" s="75">
        <f>SUMIF(Projection!$B$19:$B$34,$I7,Projection!BF$19:BF$34)</f>
        <v>-13950</v>
      </c>
      <c r="L7" s="75">
        <f>SUMIF(Projection!$B$19:$B$34,$I7,Projection!BG$19:BG$34)</f>
        <v>0</v>
      </c>
      <c r="M7" s="75">
        <f>SUMIF(Projection!$B$19:$B$34,$I7,Projection!BH$19:BH$34)</f>
        <v>0</v>
      </c>
      <c r="P7" s="29" t="str">
        <f>Projection!B20</f>
        <v>Covid-19 Disruption - second period</v>
      </c>
      <c r="Q7" s="75">
        <f>INDEX(Projection!$BE$64:$BH$79,MATCH(Summary!$P7,Projection!$B$64:$B$79,0),MATCH(Summary!Q$4,Projection!$BE$3:$BH$3))</f>
        <v>0</v>
      </c>
      <c r="R7" s="75">
        <f>INDEX(Projection!$BE$104:$BH$119,MATCH(Summary!$P7,Projection!$B$64:$B$79,0),MATCH(Summary!R$4,Projection!$BE$3:$BH$3))</f>
        <v>0</v>
      </c>
      <c r="S7" s="75">
        <f>INDEX(Projection!$BE$124:$BH$139,MATCH(Summary!$P7,Projection!$B$64:$B$79,0),MATCH(Summary!S$4,Projection!$BE$3:$BH$3))</f>
        <v>0</v>
      </c>
      <c r="T7" s="75">
        <f>INDEX(Projection!$BE$144:$BH$159,MATCH(Summary!$P7,Projection!$B$64:$B$79,0),MATCH(Summary!T$4,Projection!$BE$3:$BH$3))</f>
        <v>0</v>
      </c>
      <c r="U7" s="75">
        <f>INDEX(Projection!$BE$64:$BH$79,MATCH(Summary!$P7,Projection!$B$64:$B$79,0),MATCH(Summary!U$4,Projection!$BE$3:$BH$3))</f>
        <v>0</v>
      </c>
      <c r="V7" s="75">
        <f>INDEX(Projection!$BE$104:$BH$119,MATCH(Summary!$P7,Projection!$B$64:$B$79,0),MATCH(Summary!V$4,Projection!$BE$3:$BH$3))</f>
        <v>0</v>
      </c>
      <c r="W7" s="75">
        <f>INDEX(Projection!$BE$124:$BH$139,MATCH(Summary!$P7,Projection!$B$64:$B$79,0),MATCH(Summary!W$4,Projection!$BE$3:$BH$3))</f>
        <v>0</v>
      </c>
      <c r="X7" s="75">
        <f>INDEX(Projection!$BE$144:$BH$159,MATCH(Summary!$P7,Projection!$B$64:$B$79,0),MATCH(Summary!X$4,Projection!$BE$3:$BH$3))</f>
        <v>0</v>
      </c>
      <c r="Y7" s="75">
        <f>INDEX(Projection!$BE$64:$BH$79,MATCH(Summary!$P7,Projection!$B$64:$B$79,0),MATCH(Summary!Y$4,Projection!$BE$3:$BH$3))</f>
        <v>0</v>
      </c>
      <c r="Z7" s="75">
        <f>INDEX(Projection!$BE$104:$BH$119,MATCH(Summary!$P7,Projection!$B$64:$B$79,0),MATCH(Summary!Z$4,Projection!$BE$3:$BH$3))</f>
        <v>0</v>
      </c>
      <c r="AA7" s="75">
        <f>INDEX(Projection!$BE$124:$BH$139,MATCH(Summary!$P7,Projection!$B$64:$B$79,0),MATCH(Summary!AA$4,Projection!$BE$3:$BH$3))</f>
        <v>0</v>
      </c>
      <c r="AB7" s="75">
        <f>INDEX(Projection!$BE$144:$BH$159,MATCH(Summary!$P7,Projection!$B$64:$B$79,0),MATCH(Summary!AB$4,Projection!$BE$3:$BH$3))</f>
        <v>0</v>
      </c>
      <c r="AC7" s="75">
        <f>INDEX(Projection!$BE$64:$BH$79,MATCH(Summary!$P7,Projection!$B$64:$B$79,0),MATCH(Summary!AC$4,Projection!$BE$3:$BH$3))</f>
        <v>0</v>
      </c>
      <c r="AD7" s="75">
        <f>INDEX(Projection!$BE$104:$BH$119,MATCH(Summary!$P7,Projection!$B$64:$B$79,0),MATCH(Summary!AD$4,Projection!$BE$3:$BH$3))</f>
        <v>0</v>
      </c>
      <c r="AE7" s="75">
        <f>INDEX(Projection!$BE$124:$BH$139,MATCH(Summary!$P7,Projection!$B$64:$B$79,0),MATCH(Summary!AE$4,Projection!$BE$3:$BH$3))</f>
        <v>0</v>
      </c>
      <c r="AF7" s="75">
        <f>INDEX(Projection!$BE$144:$BH$159,MATCH(Summary!$P7,Projection!$B$64:$B$79,0),MATCH(Summary!AF$4,Projection!$BE$3:$BH$3))</f>
        <v>0</v>
      </c>
    </row>
    <row r="8" spans="1:32" ht="21" customHeight="1" x14ac:dyDescent="0.3">
      <c r="A8" s="83" t="s">
        <v>393</v>
      </c>
      <c r="B8" s="19">
        <v>0</v>
      </c>
      <c r="C8" s="29">
        <f>Projection!BE38</f>
        <v>38150</v>
      </c>
      <c r="D8" s="29">
        <f>Projection!BF38</f>
        <v>3300</v>
      </c>
      <c r="E8" s="29">
        <f>Projection!BG38</f>
        <v>0</v>
      </c>
      <c r="F8" s="29">
        <f>Projection!BH38</f>
        <v>0</v>
      </c>
      <c r="H8" s="33"/>
      <c r="I8" s="29" t="str">
        <f>Projection!B21</f>
        <v>Covid-19 MoH funding</v>
      </c>
      <c r="J8" s="75">
        <f>SUMIF(Projection!$B$19:$B$34,$I8,Projection!BE$19:BE$34)</f>
        <v>38150</v>
      </c>
      <c r="K8" s="75">
        <f>SUMIF(Projection!$B$19:$B$34,$I8,Projection!BF$19:BF$34)</f>
        <v>3300</v>
      </c>
      <c r="L8" s="75">
        <f>SUMIF(Projection!$B$19:$B$34,$I8,Projection!BG$19:BG$34)</f>
        <v>0</v>
      </c>
      <c r="M8" s="75">
        <f>SUMIF(Projection!$B$19:$B$34,$I8,Projection!BH$19:BH$34)</f>
        <v>0</v>
      </c>
      <c r="P8" s="29" t="str">
        <f>Projection!B23</f>
        <v>Call Management</v>
      </c>
      <c r="Q8" s="75">
        <f>INDEX(Projection!$BE$64:$BH$79,MATCH(Summary!$P8,Projection!$B$64:$B$79,0),MATCH(Summary!Q$4,Projection!$BE$3:$BH$3))</f>
        <v>0</v>
      </c>
      <c r="R8" s="75">
        <f>INDEX(Projection!$BE$104:$BH$119,MATCH(Summary!$P8,Projection!$B$64:$B$79,0),MATCH(Summary!R$4,Projection!$BE$3:$BH$3))</f>
        <v>0</v>
      </c>
      <c r="S8" s="75">
        <f>INDEX(Projection!$BE$124:$BH$139,MATCH(Summary!$P8,Projection!$B$64:$B$79,0),MATCH(Summary!S$4,Projection!$BE$3:$BH$3))</f>
        <v>0</v>
      </c>
      <c r="T8" s="75">
        <f>INDEX(Projection!$BE$144:$BH$159,MATCH(Summary!$P8,Projection!$B$64:$B$79,0),MATCH(Summary!T$4,Projection!$BE$3:$BH$3))</f>
        <v>0</v>
      </c>
      <c r="U8" s="75">
        <f>INDEX(Projection!$BE$64:$BH$79,MATCH(Summary!$P8,Projection!$B$64:$B$79,0),MATCH(Summary!U$4,Projection!$BE$3:$BH$3))</f>
        <v>0</v>
      </c>
      <c r="V8" s="75">
        <f>INDEX(Projection!$BE$104:$BH$119,MATCH(Summary!$P8,Projection!$B$64:$B$79,0),MATCH(Summary!V$4,Projection!$BE$3:$BH$3))</f>
        <v>0</v>
      </c>
      <c r="W8" s="75">
        <f>INDEX(Projection!$BE$124:$BH$139,MATCH(Summary!$P8,Projection!$B$64:$B$79,0),MATCH(Summary!W$4,Projection!$BE$3:$BH$3))</f>
        <v>0</v>
      </c>
      <c r="X8" s="75">
        <f>INDEX(Projection!$BE$144:$BH$159,MATCH(Summary!$P8,Projection!$B$64:$B$79,0),MATCH(Summary!X$4,Projection!$BE$3:$BH$3))</f>
        <v>115200</v>
      </c>
      <c r="Y8" s="75">
        <f>INDEX(Projection!$BE$64:$BH$79,MATCH(Summary!$P8,Projection!$B$64:$B$79,0),MATCH(Summary!Y$4,Projection!$BE$3:$BH$3))</f>
        <v>0</v>
      </c>
      <c r="Z8" s="75">
        <f>INDEX(Projection!$BE$104:$BH$119,MATCH(Summary!$P8,Projection!$B$64:$B$79,0),MATCH(Summary!Z$4,Projection!$BE$3:$BH$3))</f>
        <v>0</v>
      </c>
      <c r="AA8" s="75">
        <f>INDEX(Projection!$BE$124:$BH$139,MATCH(Summary!$P8,Projection!$B$64:$B$79,0),MATCH(Summary!AA$4,Projection!$BE$3:$BH$3))</f>
        <v>0</v>
      </c>
      <c r="AB8" s="75">
        <f>INDEX(Projection!$BE$144:$BH$159,MATCH(Summary!$P8,Projection!$B$64:$B$79,0),MATCH(Summary!AB$4,Projection!$BE$3:$BH$3))</f>
        <v>115200</v>
      </c>
      <c r="AC8" s="75">
        <f>INDEX(Projection!$BE$64:$BH$79,MATCH(Summary!$P8,Projection!$B$64:$B$79,0),MATCH(Summary!AC$4,Projection!$BE$3:$BH$3))</f>
        <v>0</v>
      </c>
      <c r="AD8" s="75">
        <f>INDEX(Projection!$BE$104:$BH$119,MATCH(Summary!$P8,Projection!$B$64:$B$79,0),MATCH(Summary!AD$4,Projection!$BE$3:$BH$3))</f>
        <v>0</v>
      </c>
      <c r="AE8" s="75">
        <f>INDEX(Projection!$BE$124:$BH$139,MATCH(Summary!$P8,Projection!$B$64:$B$79,0),MATCH(Summary!AE$4,Projection!$BE$3:$BH$3))</f>
        <v>0</v>
      </c>
      <c r="AF8" s="75">
        <f>INDEX(Projection!$BE$144:$BH$159,MATCH(Summary!$P8,Projection!$B$64:$B$79,0),MATCH(Summary!AF$4,Projection!$BE$3:$BH$3))</f>
        <v>115200</v>
      </c>
    </row>
    <row r="9" spans="1:32" ht="21" customHeight="1" x14ac:dyDescent="0.3">
      <c r="A9" s="28" t="s">
        <v>103</v>
      </c>
      <c r="B9" s="28">
        <f>SUM(B6:B8)</f>
        <v>2380000</v>
      </c>
      <c r="C9" s="28">
        <f t="shared" ref="C9:F9" si="0">SUM(C6:C8)</f>
        <v>2401293.3260869565</v>
      </c>
      <c r="D9" s="28">
        <f t="shared" si="0"/>
        <v>2309649.0379022425</v>
      </c>
      <c r="E9" s="28">
        <f t="shared" si="0"/>
        <v>2344689.2461708691</v>
      </c>
      <c r="F9" s="28">
        <f t="shared" si="0"/>
        <v>2336193.459504202</v>
      </c>
      <c r="H9" s="33"/>
      <c r="I9" s="29" t="str">
        <f>Projection!B22</f>
        <v>Covid-19 Wage subsidy</v>
      </c>
      <c r="J9" s="75">
        <f>SUMIF(Projection!$B$19:$B$34,$I9,Projection!BE$19:BE$34)</f>
        <v>0</v>
      </c>
      <c r="K9" s="75">
        <f>SUMIF(Projection!$B$19:$B$34,$I9,Projection!BF$19:BF$34)</f>
        <v>0</v>
      </c>
      <c r="L9" s="75">
        <f>SUMIF(Projection!$B$19:$B$34,$I9,Projection!BG$19:BG$34)</f>
        <v>0</v>
      </c>
      <c r="M9" s="75">
        <f>SUMIF(Projection!$B$19:$B$34,$I9,Projection!BH$19:BH$34)</f>
        <v>0</v>
      </c>
      <c r="P9" s="29" t="str">
        <f>Projection!B24</f>
        <v>GP triage</v>
      </c>
      <c r="Q9" s="75">
        <f>INDEX(Projection!$BE$64:$BH$79,MATCH(Summary!$P9,Projection!$B$64:$B$79,0),MATCH(Summary!Q$4,Projection!$BE$3:$BH$3))</f>
        <v>0</v>
      </c>
      <c r="R9" s="75">
        <f>INDEX(Projection!$BE$104:$BH$119,MATCH(Summary!$P9,Projection!$B$64:$B$79,0),MATCH(Summary!R$4,Projection!$BE$3:$BH$3))</f>
        <v>0</v>
      </c>
      <c r="S9" s="75">
        <f>INDEX(Projection!$BE$124:$BH$139,MATCH(Summary!$P9,Projection!$B$64:$B$79,0),MATCH(Summary!S$4,Projection!$BE$3:$BH$3))</f>
        <v>0</v>
      </c>
      <c r="T9" s="75">
        <f>INDEX(Projection!$BE$144:$BH$159,MATCH(Summary!$P9,Projection!$B$64:$B$79,0),MATCH(Summary!T$4,Projection!$BE$3:$BH$3))</f>
        <v>0</v>
      </c>
      <c r="U9" s="75">
        <f>INDEX(Projection!$BE$64:$BH$79,MATCH(Summary!$P9,Projection!$B$64:$B$79,0),MATCH(Summary!U$4,Projection!$BE$3:$BH$3))</f>
        <v>-47052.5</v>
      </c>
      <c r="V9" s="75">
        <f>INDEX(Projection!$BE$104:$BH$119,MATCH(Summary!$P9,Projection!$B$64:$B$79,0),MATCH(Summary!V$4,Projection!$BE$3:$BH$3))</f>
        <v>7507.5</v>
      </c>
      <c r="W9" s="75">
        <f>INDEX(Projection!$BE$124:$BH$139,MATCH(Summary!$P9,Projection!$B$64:$B$79,0),MATCH(Summary!W$4,Projection!$BE$3:$BH$3))</f>
        <v>0</v>
      </c>
      <c r="X9" s="75">
        <f>INDEX(Projection!$BE$144:$BH$159,MATCH(Summary!$P9,Projection!$B$64:$B$79,0),MATCH(Summary!X$4,Projection!$BE$3:$BH$3))</f>
        <v>0</v>
      </c>
      <c r="Y9" s="75">
        <f>INDEX(Projection!$BE$64:$BH$79,MATCH(Summary!$P9,Projection!$B$64:$B$79,0),MATCH(Summary!Y$4,Projection!$BE$3:$BH$3))</f>
        <v>-51330</v>
      </c>
      <c r="Z9" s="75">
        <f>INDEX(Projection!$BE$104:$BH$119,MATCH(Summary!$P9,Projection!$B$64:$B$79,0),MATCH(Summary!Z$4,Projection!$BE$3:$BH$3))</f>
        <v>8190</v>
      </c>
      <c r="AA9" s="75">
        <f>INDEX(Projection!$BE$124:$BH$139,MATCH(Summary!$P9,Projection!$B$64:$B$79,0),MATCH(Summary!AA$4,Projection!$BE$3:$BH$3))</f>
        <v>0</v>
      </c>
      <c r="AB9" s="75">
        <f>INDEX(Projection!$BE$144:$BH$159,MATCH(Summary!$P9,Projection!$B$64:$B$79,0),MATCH(Summary!AB$4,Projection!$BE$3:$BH$3))</f>
        <v>0</v>
      </c>
      <c r="AC9" s="75">
        <f>INDEX(Projection!$BE$64:$BH$79,MATCH(Summary!$P9,Projection!$B$64:$B$79,0),MATCH(Summary!AC$4,Projection!$BE$3:$BH$3))</f>
        <v>-51330</v>
      </c>
      <c r="AD9" s="75">
        <f>INDEX(Projection!$BE$104:$BH$119,MATCH(Summary!$P9,Projection!$B$64:$B$79,0),MATCH(Summary!AD$4,Projection!$BE$3:$BH$3))</f>
        <v>8190</v>
      </c>
      <c r="AE9" s="75">
        <f>INDEX(Projection!$BE$124:$BH$139,MATCH(Summary!$P9,Projection!$B$64:$B$79,0),MATCH(Summary!AE$4,Projection!$BE$3:$BH$3))</f>
        <v>0</v>
      </c>
      <c r="AF9" s="75">
        <f>INDEX(Projection!$BE$144:$BH$159,MATCH(Summary!$P9,Projection!$B$64:$B$79,0),MATCH(Summary!AF$4,Projection!$BE$3:$BH$3))</f>
        <v>0</v>
      </c>
    </row>
    <row r="10" spans="1:32" ht="21" customHeight="1" x14ac:dyDescent="0.3">
      <c r="C10" s="252"/>
      <c r="D10" s="252"/>
      <c r="E10" s="252"/>
      <c r="F10" s="252"/>
      <c r="H10" s="33"/>
      <c r="I10" s="29" t="str">
        <f>Projection!B23</f>
        <v>Call Management</v>
      </c>
      <c r="J10" s="75">
        <f>SUMIF(Projection!$B$19:$B$34,$I10,Projection!BE$19:BE$34)</f>
        <v>0</v>
      </c>
      <c r="K10" s="75">
        <f>SUMIF(Projection!$B$19:$B$34,$I10,Projection!BF$19:BF$34)</f>
        <v>0</v>
      </c>
      <c r="L10" s="75">
        <f>SUMIF(Projection!$B$19:$B$34,$I10,Projection!BG$19:BG$34)</f>
        <v>0</v>
      </c>
      <c r="M10" s="75">
        <f>SUMIF(Projection!$B$19:$B$34,$I10,Projection!BH$19:BH$34)</f>
        <v>0</v>
      </c>
      <c r="P10" s="29" t="str">
        <f>Projection!B25</f>
        <v>GP triage during Covid-19 - first period</v>
      </c>
      <c r="Q10" s="75">
        <f>INDEX(Projection!$BE$64:$BH$79,MATCH(Summary!$P10,Projection!$B$64:$B$79,0),MATCH(Summary!Q$4,Projection!$BE$3:$BH$3))</f>
        <v>0</v>
      </c>
      <c r="R10" s="75">
        <f>INDEX(Projection!$BE$104:$BH$119,MATCH(Summary!$P10,Projection!$B$64:$B$79,0),MATCH(Summary!R$4,Projection!$BE$3:$BH$3))</f>
        <v>0</v>
      </c>
      <c r="S10" s="75">
        <f>INDEX(Projection!$BE$124:$BH$139,MATCH(Summary!$P10,Projection!$B$64:$B$79,0),MATCH(Summary!S$4,Projection!$BE$3:$BH$3))</f>
        <v>0</v>
      </c>
      <c r="T10" s="75">
        <f>INDEX(Projection!$BE$144:$BH$159,MATCH(Summary!$P10,Projection!$B$64:$B$79,0),MATCH(Summary!T$4,Projection!$BE$3:$BH$3))</f>
        <v>0</v>
      </c>
      <c r="U10" s="75">
        <f>INDEX(Projection!$BE$64:$BH$79,MATCH(Summary!$P10,Projection!$B$64:$B$79,0),MATCH(Summary!U$4,Projection!$BE$3:$BH$3))</f>
        <v>0</v>
      </c>
      <c r="V10" s="75">
        <f>INDEX(Projection!$BE$104:$BH$119,MATCH(Summary!$P10,Projection!$B$64:$B$79,0),MATCH(Summary!V$4,Projection!$BE$3:$BH$3))</f>
        <v>0</v>
      </c>
      <c r="W10" s="75">
        <f>INDEX(Projection!$BE$124:$BH$139,MATCH(Summary!$P10,Projection!$B$64:$B$79,0),MATCH(Summary!W$4,Projection!$BE$3:$BH$3))</f>
        <v>0</v>
      </c>
      <c r="X10" s="75">
        <f>INDEX(Projection!$BE$144:$BH$159,MATCH(Summary!$P10,Projection!$B$64:$B$79,0),MATCH(Summary!X$4,Projection!$BE$3:$BH$3))</f>
        <v>0</v>
      </c>
      <c r="Y10" s="75">
        <f>INDEX(Projection!$BE$64:$BH$79,MATCH(Summary!$P10,Projection!$B$64:$B$79,0),MATCH(Summary!Y$4,Projection!$BE$3:$BH$3))</f>
        <v>0</v>
      </c>
      <c r="Z10" s="75">
        <f>INDEX(Projection!$BE$104:$BH$119,MATCH(Summary!$P10,Projection!$B$64:$B$79,0),MATCH(Summary!Z$4,Projection!$BE$3:$BH$3))</f>
        <v>0</v>
      </c>
      <c r="AA10" s="75">
        <f>INDEX(Projection!$BE$124:$BH$139,MATCH(Summary!$P10,Projection!$B$64:$B$79,0),MATCH(Summary!AA$4,Projection!$BE$3:$BH$3))</f>
        <v>0</v>
      </c>
      <c r="AB10" s="75">
        <f>INDEX(Projection!$BE$144:$BH$159,MATCH(Summary!$P10,Projection!$B$64:$B$79,0),MATCH(Summary!AB$4,Projection!$BE$3:$BH$3))</f>
        <v>0</v>
      </c>
      <c r="AC10" s="75">
        <f>INDEX(Projection!$BE$64:$BH$79,MATCH(Summary!$P10,Projection!$B$64:$B$79,0),MATCH(Summary!AC$4,Projection!$BE$3:$BH$3))</f>
        <v>0</v>
      </c>
      <c r="AD10" s="75">
        <f>INDEX(Projection!$BE$104:$BH$119,MATCH(Summary!$P10,Projection!$B$64:$B$79,0),MATCH(Summary!AD$4,Projection!$BE$3:$BH$3))</f>
        <v>0</v>
      </c>
      <c r="AE10" s="75">
        <f>INDEX(Projection!$BE$124:$BH$139,MATCH(Summary!$P10,Projection!$B$64:$B$79,0),MATCH(Summary!AE$4,Projection!$BE$3:$BH$3))</f>
        <v>0</v>
      </c>
      <c r="AF10" s="75">
        <f>INDEX(Projection!$BE$144:$BH$159,MATCH(Summary!$P10,Projection!$B$64:$B$79,0),MATCH(Summary!AF$4,Projection!$BE$3:$BH$3))</f>
        <v>0</v>
      </c>
    </row>
    <row r="11" spans="1:32" ht="21" customHeight="1" x14ac:dyDescent="0.3">
      <c r="A11" s="210" t="s">
        <v>372</v>
      </c>
      <c r="B11" s="210"/>
      <c r="C11" s="210"/>
      <c r="D11" s="210"/>
      <c r="E11" s="210"/>
      <c r="F11" s="210"/>
      <c r="H11" s="33"/>
      <c r="I11" s="29" t="str">
        <f>Projection!B24</f>
        <v>GP triage</v>
      </c>
      <c r="J11" s="75">
        <f>SUMIF(Projection!$B$19:$B$34,$I11,Projection!BE$19:BE$34)</f>
        <v>0</v>
      </c>
      <c r="K11" s="75">
        <f>SUMIF(Projection!$B$19:$B$34,$I11,Projection!BF$19:BF$34)</f>
        <v>-24578.902173913037</v>
      </c>
      <c r="L11" s="75">
        <f>SUMIF(Projection!$B$19:$B$34,$I11,Projection!BG$19:BG$34)</f>
        <v>-26813.347826086949</v>
      </c>
      <c r="M11" s="75">
        <f>SUMIF(Projection!$B$19:$B$34,$I11,Projection!BH$19:BH$34)</f>
        <v>-26813.347826086949</v>
      </c>
      <c r="P11" s="29" t="str">
        <f>Projection!B26</f>
        <v>Virtual consults</v>
      </c>
      <c r="Q11" s="75">
        <f>INDEX(Projection!$BE$64:$BH$79,MATCH(Summary!$P11,Projection!$B$64:$B$79,0),MATCH(Summary!Q$4,Projection!$BE$3:$BH$3))</f>
        <v>0</v>
      </c>
      <c r="R11" s="75">
        <f>INDEX(Projection!$BE$104:$BH$119,MATCH(Summary!$P11,Projection!$B$64:$B$79,0),MATCH(Summary!R$4,Projection!$BE$3:$BH$3))</f>
        <v>0</v>
      </c>
      <c r="S11" s="75">
        <f>INDEX(Projection!$BE$124:$BH$139,MATCH(Summary!$P11,Projection!$B$64:$B$79,0),MATCH(Summary!S$4,Projection!$BE$3:$BH$3))</f>
        <v>0</v>
      </c>
      <c r="T11" s="75">
        <f>INDEX(Projection!$BE$144:$BH$159,MATCH(Summary!$P11,Projection!$B$64:$B$79,0),MATCH(Summary!T$4,Projection!$BE$3:$BH$3))</f>
        <v>0</v>
      </c>
      <c r="U11" s="75">
        <f>INDEX(Projection!$BE$64:$BH$79,MATCH(Summary!$P11,Projection!$B$64:$B$79,0),MATCH(Summary!U$4,Projection!$BE$3:$BH$3))</f>
        <v>-1465.8904109589043</v>
      </c>
      <c r="V11" s="75">
        <f>INDEX(Projection!$BE$104:$BH$119,MATCH(Summary!$P11,Projection!$B$64:$B$79,0),MATCH(Summary!V$4,Projection!$BE$3:$BH$3))</f>
        <v>-904.8706240487063</v>
      </c>
      <c r="W11" s="75">
        <f>INDEX(Projection!$BE$124:$BH$139,MATCH(Summary!$P11,Projection!$B$64:$B$79,0),MATCH(Summary!W$4,Projection!$BE$3:$BH$3))</f>
        <v>0</v>
      </c>
      <c r="X11" s="75">
        <f>INDEX(Projection!$BE$144:$BH$159,MATCH(Summary!$P11,Projection!$B$64:$B$79,0),MATCH(Summary!X$4,Projection!$BE$3:$BH$3))</f>
        <v>0</v>
      </c>
      <c r="Y11" s="75">
        <f>INDEX(Projection!$BE$64:$BH$79,MATCH(Summary!$P11,Projection!$B$64:$B$79,0),MATCH(Summary!Y$4,Projection!$BE$3:$BH$3))</f>
        <v>-4165.8904109589048</v>
      </c>
      <c r="Z11" s="75">
        <f>INDEX(Projection!$BE$104:$BH$119,MATCH(Summary!$P11,Projection!$B$64:$B$79,0),MATCH(Summary!Z$4,Projection!$BE$3:$BH$3))</f>
        <v>-2571.5372907153728</v>
      </c>
      <c r="AA11" s="75">
        <f>INDEX(Projection!$BE$124:$BH$139,MATCH(Summary!$P11,Projection!$B$64:$B$79,0),MATCH(Summary!AA$4,Projection!$BE$3:$BH$3))</f>
        <v>0</v>
      </c>
      <c r="AB11" s="75">
        <f>INDEX(Projection!$BE$144:$BH$159,MATCH(Summary!$P11,Projection!$B$64:$B$79,0),MATCH(Summary!AB$4,Projection!$BE$3:$BH$3))</f>
        <v>0</v>
      </c>
      <c r="AC11" s="75">
        <f>INDEX(Projection!$BE$64:$BH$79,MATCH(Summary!$P11,Projection!$B$64:$B$79,0),MATCH(Summary!AC$4,Projection!$BE$3:$BH$3))</f>
        <v>-6865.8904109589057</v>
      </c>
      <c r="AD11" s="75">
        <f>INDEX(Projection!$BE$104:$BH$119,MATCH(Summary!$P11,Projection!$B$64:$B$79,0),MATCH(Summary!AD$4,Projection!$BE$3:$BH$3))</f>
        <v>-4238.2039573820393</v>
      </c>
      <c r="AE11" s="75">
        <f>INDEX(Projection!$BE$124:$BH$139,MATCH(Summary!$P11,Projection!$B$64:$B$79,0),MATCH(Summary!AE$4,Projection!$BE$3:$BH$3))</f>
        <v>0</v>
      </c>
      <c r="AF11" s="75">
        <f>INDEX(Projection!$BE$144:$BH$159,MATCH(Summary!$P11,Projection!$B$64:$B$79,0),MATCH(Summary!AF$4,Projection!$BE$3:$BH$3))</f>
        <v>0</v>
      </c>
    </row>
    <row r="12" spans="1:32" ht="21" customHeight="1" x14ac:dyDescent="0.3">
      <c r="H12" s="33"/>
      <c r="I12" s="29" t="str">
        <f>Projection!B25</f>
        <v>GP triage during Covid-19 - first period</v>
      </c>
      <c r="J12" s="75">
        <f>SUMIF(Projection!$B$19:$B$34,$I12,Projection!BE$19:BE$34)</f>
        <v>-4306.6739130434771</v>
      </c>
      <c r="K12" s="75">
        <f>SUMIF(Projection!$B$19:$B$34,$I12,Projection!BF$19:BF$34)</f>
        <v>-6378.9021739130421</v>
      </c>
      <c r="L12" s="75">
        <f>SUMIF(Projection!$B$19:$B$34,$I12,Projection!BG$19:BG$34)</f>
        <v>0</v>
      </c>
      <c r="M12" s="75">
        <f>SUMIF(Projection!$B$19:$B$34,$I12,Projection!BH$19:BH$34)</f>
        <v>0</v>
      </c>
      <c r="P12" s="29" t="str">
        <f>Projection!B27</f>
        <v>Virtual consults during Covid-19</v>
      </c>
      <c r="Q12" s="75">
        <f>INDEX(Projection!$BE$64:$BH$79,MATCH(Summary!$P12,Projection!$B$64:$B$79,0),MATCH(Summary!Q$4,Projection!$BE$3:$BH$3))</f>
        <v>0</v>
      </c>
      <c r="R12" s="75">
        <f>INDEX(Projection!$BE$104:$BH$119,MATCH(Summary!$P12,Projection!$B$64:$B$79,0),MATCH(Summary!R$4,Projection!$BE$3:$BH$3))</f>
        <v>0</v>
      </c>
      <c r="S12" s="75">
        <f>INDEX(Projection!$BE$124:$BH$139,MATCH(Summary!$P12,Projection!$B$64:$B$79,0),MATCH(Summary!S$4,Projection!$BE$3:$BH$3))</f>
        <v>0</v>
      </c>
      <c r="T12" s="75">
        <f>INDEX(Projection!$BE$144:$BH$159,MATCH(Summary!$P12,Projection!$B$64:$B$79,0),MATCH(Summary!T$4,Projection!$BE$3:$BH$3))</f>
        <v>0</v>
      </c>
      <c r="U12" s="75">
        <f>INDEX(Projection!$BE$64:$BH$79,MATCH(Summary!$P12,Projection!$B$64:$B$79,0),MATCH(Summary!U$4,Projection!$BE$3:$BH$3))</f>
        <v>0</v>
      </c>
      <c r="V12" s="75">
        <f>INDEX(Projection!$BE$104:$BH$119,MATCH(Summary!$P12,Projection!$B$64:$B$79,0),MATCH(Summary!V$4,Projection!$BE$3:$BH$3))</f>
        <v>0</v>
      </c>
      <c r="W12" s="75">
        <f>INDEX(Projection!$BE$124:$BH$139,MATCH(Summary!$P12,Projection!$B$64:$B$79,0),MATCH(Summary!W$4,Projection!$BE$3:$BH$3))</f>
        <v>0</v>
      </c>
      <c r="X12" s="75">
        <f>INDEX(Projection!$BE$144:$BH$159,MATCH(Summary!$P12,Projection!$B$64:$B$79,0),MATCH(Summary!X$4,Projection!$BE$3:$BH$3))</f>
        <v>0</v>
      </c>
      <c r="Y12" s="75">
        <f>INDEX(Projection!$BE$64:$BH$79,MATCH(Summary!$P12,Projection!$B$64:$B$79,0),MATCH(Summary!Y$4,Projection!$BE$3:$BH$3))</f>
        <v>0</v>
      </c>
      <c r="Z12" s="75">
        <f>INDEX(Projection!$BE$104:$BH$119,MATCH(Summary!$P12,Projection!$B$64:$B$79,0),MATCH(Summary!Z$4,Projection!$BE$3:$BH$3))</f>
        <v>0</v>
      </c>
      <c r="AA12" s="75">
        <f>INDEX(Projection!$BE$124:$BH$139,MATCH(Summary!$P12,Projection!$B$64:$B$79,0),MATCH(Summary!AA$4,Projection!$BE$3:$BH$3))</f>
        <v>0</v>
      </c>
      <c r="AB12" s="75">
        <f>INDEX(Projection!$BE$144:$BH$159,MATCH(Summary!$P12,Projection!$B$64:$B$79,0),MATCH(Summary!AB$4,Projection!$BE$3:$BH$3))</f>
        <v>0</v>
      </c>
      <c r="AC12" s="75">
        <f>INDEX(Projection!$BE$64:$BH$79,MATCH(Summary!$P12,Projection!$B$64:$B$79,0),MATCH(Summary!AC$4,Projection!$BE$3:$BH$3))</f>
        <v>0</v>
      </c>
      <c r="AD12" s="75">
        <f>INDEX(Projection!$BE$104:$BH$119,MATCH(Summary!$P12,Projection!$B$64:$B$79,0),MATCH(Summary!AD$4,Projection!$BE$3:$BH$3))</f>
        <v>0</v>
      </c>
      <c r="AE12" s="75">
        <f>INDEX(Projection!$BE$124:$BH$139,MATCH(Summary!$P12,Projection!$B$64:$B$79,0),MATCH(Summary!AE$4,Projection!$BE$3:$BH$3))</f>
        <v>0</v>
      </c>
      <c r="AF12" s="75">
        <f>INDEX(Projection!$BE$144:$BH$159,MATCH(Summary!$P12,Projection!$B$64:$B$79,0),MATCH(Summary!AF$4,Projection!$BE$3:$BH$3))</f>
        <v>0</v>
      </c>
    </row>
    <row r="13" spans="1:32" ht="21" customHeight="1" x14ac:dyDescent="0.3">
      <c r="B13" s="198" t="s">
        <v>116</v>
      </c>
      <c r="C13" s="90">
        <v>1</v>
      </c>
      <c r="D13" s="22">
        <v>2</v>
      </c>
      <c r="E13" s="90">
        <v>3</v>
      </c>
      <c r="F13" s="90">
        <v>4</v>
      </c>
      <c r="H13" s="33"/>
      <c r="I13" s="29" t="str">
        <f>Projection!B26</f>
        <v>Virtual consults</v>
      </c>
      <c r="J13" s="75">
        <f>SUMIF(Projection!$B$19:$B$34,$I13,Projection!BE$19:BE$34)</f>
        <v>0</v>
      </c>
      <c r="K13" s="75">
        <f>SUMIF(Projection!$B$19:$B$34,$I13,Projection!BF$19:BF$34)</f>
        <v>-1067.7473363774734</v>
      </c>
      <c r="L13" s="75">
        <f>SUMIF(Projection!$B$19:$B$34,$I13,Projection!BG$19:BG$34)</f>
        <v>-3034.4140030441408</v>
      </c>
      <c r="M13" s="75">
        <f>SUMIF(Projection!$B$19:$B$34,$I13,Projection!BH$19:BH$34)</f>
        <v>-5001.0806697108083</v>
      </c>
      <c r="P13" s="29" t="str">
        <f>Projection!B28</f>
        <v>YOC</v>
      </c>
      <c r="Q13" s="75">
        <f>INDEX(Projection!$BE$64:$BH$79,MATCH(Summary!$P13,Projection!$B$64:$B$79,0),MATCH(Summary!Q$4,Projection!$BE$3:$BH$3))</f>
        <v>0</v>
      </c>
      <c r="R13" s="75">
        <f>INDEX(Projection!$BE$104:$BH$119,MATCH(Summary!$P13,Projection!$B$64:$B$79,0),MATCH(Summary!R$4,Projection!$BE$3:$BH$3))</f>
        <v>0</v>
      </c>
      <c r="S13" s="75">
        <f>INDEX(Projection!$BE$124:$BH$139,MATCH(Summary!$P13,Projection!$B$64:$B$79,0),MATCH(Summary!S$4,Projection!$BE$3:$BH$3))</f>
        <v>0</v>
      </c>
      <c r="T13" s="75">
        <f>INDEX(Projection!$BE$144:$BH$159,MATCH(Summary!$P13,Projection!$B$64:$B$79,0),MATCH(Summary!T$4,Projection!$BE$3:$BH$3))</f>
        <v>0</v>
      </c>
      <c r="U13" s="75">
        <f>INDEX(Projection!$BE$64:$BH$79,MATCH(Summary!$P13,Projection!$B$64:$B$79,0),MATCH(Summary!U$4,Projection!$BE$3:$BH$3))</f>
        <v>-12215.753424657534</v>
      </c>
      <c r="V13" s="75">
        <f>INDEX(Projection!$BE$104:$BH$119,MATCH(Summary!$P13,Projection!$B$64:$B$79,0),MATCH(Summary!V$4,Projection!$BE$3:$BH$3))</f>
        <v>58364.15525114155</v>
      </c>
      <c r="W13" s="75">
        <f>INDEX(Projection!$BE$124:$BH$139,MATCH(Summary!$P13,Projection!$B$64:$B$79,0),MATCH(Summary!W$4,Projection!$BE$3:$BH$3))</f>
        <v>0</v>
      </c>
      <c r="X13" s="75">
        <f>INDEX(Projection!$BE$144:$BH$159,MATCH(Summary!$P13,Projection!$B$64:$B$79,0),MATCH(Summary!X$4,Projection!$BE$3:$BH$3))</f>
        <v>0</v>
      </c>
      <c r="Y13" s="75">
        <f>INDEX(Projection!$BE$64:$BH$79,MATCH(Summary!$P13,Projection!$B$64:$B$79,0),MATCH(Summary!Y$4,Projection!$BE$3:$BH$3))</f>
        <v>-22500</v>
      </c>
      <c r="Z13" s="75">
        <f>INDEX(Projection!$BE$104:$BH$119,MATCH(Summary!$P13,Projection!$B$64:$B$79,0),MATCH(Summary!Z$4,Projection!$BE$3:$BH$3))</f>
        <v>107499.99999999999</v>
      </c>
      <c r="AA13" s="75">
        <f>INDEX(Projection!$BE$124:$BH$139,MATCH(Summary!$P13,Projection!$B$64:$B$79,0),MATCH(Summary!AA$4,Projection!$BE$3:$BH$3))</f>
        <v>0</v>
      </c>
      <c r="AB13" s="75">
        <f>INDEX(Projection!$BE$144:$BH$159,MATCH(Summary!$P13,Projection!$B$64:$B$79,0),MATCH(Summary!AB$4,Projection!$BE$3:$BH$3))</f>
        <v>0</v>
      </c>
      <c r="AC13" s="75">
        <f>INDEX(Projection!$BE$64:$BH$79,MATCH(Summary!$P13,Projection!$B$64:$B$79,0),MATCH(Summary!AC$4,Projection!$BE$3:$BH$3))</f>
        <v>-22500</v>
      </c>
      <c r="AD13" s="75">
        <f>INDEX(Projection!$BE$104:$BH$119,MATCH(Summary!$P13,Projection!$B$64:$B$79,0),MATCH(Summary!AD$4,Projection!$BE$3:$BH$3))</f>
        <v>107499.99999999999</v>
      </c>
      <c r="AE13" s="75">
        <f>INDEX(Projection!$BE$124:$BH$139,MATCH(Summary!$P13,Projection!$B$64:$B$79,0),MATCH(Summary!AE$4,Projection!$BE$3:$BH$3))</f>
        <v>0</v>
      </c>
      <c r="AF13" s="75">
        <f>INDEX(Projection!$BE$144:$BH$159,MATCH(Summary!$P13,Projection!$B$64:$B$79,0),MATCH(Summary!AF$4,Projection!$BE$3:$BH$3))</f>
        <v>0</v>
      </c>
    </row>
    <row r="14" spans="1:32" ht="21" customHeight="1" x14ac:dyDescent="0.3">
      <c r="A14" s="257" t="s">
        <v>373</v>
      </c>
      <c r="H14" s="33"/>
      <c r="I14" s="29" t="str">
        <f>Projection!B27</f>
        <v>Virtual consults during Covid-19</v>
      </c>
      <c r="J14" s="75">
        <f>SUMIF(Projection!$B$19:$B$34,$I14,Projection!BE$19:BE$34)</f>
        <v>4250.0000000000009</v>
      </c>
      <c r="K14" s="75">
        <f>SUMIF(Projection!$B$19:$B$34,$I14,Projection!BF$19:BF$34)</f>
        <v>14618.013698630146</v>
      </c>
      <c r="L14" s="75">
        <f>SUMIF(Projection!$B$19:$B$34,$I14,Projection!BG$19:BG$34)</f>
        <v>0</v>
      </c>
      <c r="M14" s="75">
        <f>SUMIF(Projection!$B$19:$B$34,$I14,Projection!BH$19:BH$34)</f>
        <v>0</v>
      </c>
      <c r="P14" s="29" t="str">
        <f>Projection!B29</f>
        <v>Extended hours</v>
      </c>
      <c r="Q14" s="75">
        <f>INDEX(Projection!$BE$64:$BH$79,MATCH(Summary!$P14,Projection!$B$64:$B$79,0),MATCH(Summary!Q$4,Projection!$BE$3:$BH$3))</f>
        <v>0</v>
      </c>
      <c r="R14" s="75">
        <f>INDEX(Projection!$BE$104:$BH$119,MATCH(Summary!$P14,Projection!$B$64:$B$79,0),MATCH(Summary!R$4,Projection!$BE$3:$BH$3))</f>
        <v>0</v>
      </c>
      <c r="S14" s="75">
        <f>INDEX(Projection!$BE$124:$BH$139,MATCH(Summary!$P14,Projection!$B$64:$B$79,0),MATCH(Summary!S$4,Projection!$BE$3:$BH$3))</f>
        <v>0</v>
      </c>
      <c r="T14" s="75">
        <f>INDEX(Projection!$BE$144:$BH$159,MATCH(Summary!$P14,Projection!$B$64:$B$79,0),MATCH(Summary!T$4,Projection!$BE$3:$BH$3))</f>
        <v>0</v>
      </c>
      <c r="U14" s="75">
        <f>INDEX(Projection!$BE$64:$BH$79,MATCH(Summary!$P14,Projection!$B$64:$B$79,0),MATCH(Summary!U$4,Projection!$BE$3:$BH$3))</f>
        <v>0</v>
      </c>
      <c r="V14" s="75">
        <f>INDEX(Projection!$BE$104:$BH$119,MATCH(Summary!$P14,Projection!$B$64:$B$79,0),MATCH(Summary!V$4,Projection!$BE$3:$BH$3))</f>
        <v>0</v>
      </c>
      <c r="W14" s="75">
        <f>INDEX(Projection!$BE$124:$BH$139,MATCH(Summary!$P14,Projection!$B$64:$B$79,0),MATCH(Summary!W$4,Projection!$BE$3:$BH$3))</f>
        <v>0</v>
      </c>
      <c r="X14" s="75">
        <f>INDEX(Projection!$BE$144:$BH$159,MATCH(Summary!$P14,Projection!$B$64:$B$79,0),MATCH(Summary!X$4,Projection!$BE$3:$BH$3))</f>
        <v>0</v>
      </c>
      <c r="Y14" s="75">
        <f>INDEX(Projection!$BE$64:$BH$79,MATCH(Summary!$P14,Projection!$B$64:$B$79,0),MATCH(Summary!Y$4,Projection!$BE$3:$BH$3))</f>
        <v>0</v>
      </c>
      <c r="Z14" s="75">
        <f>INDEX(Projection!$BE$104:$BH$119,MATCH(Summary!$P14,Projection!$B$64:$B$79,0),MATCH(Summary!Z$4,Projection!$BE$3:$BH$3))</f>
        <v>0</v>
      </c>
      <c r="AA14" s="75">
        <f>INDEX(Projection!$BE$124:$BH$139,MATCH(Summary!$P14,Projection!$B$64:$B$79,0),MATCH(Summary!AA$4,Projection!$BE$3:$BH$3))</f>
        <v>0</v>
      </c>
      <c r="AB14" s="75">
        <f>INDEX(Projection!$BE$144:$BH$159,MATCH(Summary!$P14,Projection!$B$64:$B$79,0),MATCH(Summary!AB$4,Projection!$BE$3:$BH$3))</f>
        <v>0</v>
      </c>
      <c r="AC14" s="75">
        <f>INDEX(Projection!$BE$64:$BH$79,MATCH(Summary!$P14,Projection!$B$64:$B$79,0),MATCH(Summary!AC$4,Projection!$BE$3:$BH$3))</f>
        <v>0</v>
      </c>
      <c r="AD14" s="75">
        <f>INDEX(Projection!$BE$104:$BH$119,MATCH(Summary!$P14,Projection!$B$64:$B$79,0),MATCH(Summary!AD$4,Projection!$BE$3:$BH$3))</f>
        <v>0</v>
      </c>
      <c r="AE14" s="75">
        <f>INDEX(Projection!$BE$124:$BH$139,MATCH(Summary!$P14,Projection!$B$64:$B$79,0),MATCH(Summary!AE$4,Projection!$BE$3:$BH$3))</f>
        <v>0</v>
      </c>
      <c r="AF14" s="75">
        <f>INDEX(Projection!$BE$144:$BH$159,MATCH(Summary!$P14,Projection!$B$64:$B$79,0),MATCH(Summary!AF$4,Projection!$BE$3:$BH$3))</f>
        <v>0</v>
      </c>
    </row>
    <row r="15" spans="1:32" ht="21" customHeight="1" x14ac:dyDescent="0.3">
      <c r="A15" s="85" t="s">
        <v>51</v>
      </c>
      <c r="B15" s="19">
        <f>'Master Data'!O10</f>
        <v>1278000</v>
      </c>
      <c r="C15" s="29">
        <f>$B15+J48</f>
        <v>1278000</v>
      </c>
      <c r="D15" s="29">
        <f>$B15+K48</f>
        <v>1231122.0666383079</v>
      </c>
      <c r="E15" s="29">
        <f>$B15+L48</f>
        <v>1218816.8993677555</v>
      </c>
      <c r="F15" s="29">
        <f>$B15+M48</f>
        <v>1227297.6685985248</v>
      </c>
      <c r="H15" s="33"/>
      <c r="I15" s="29" t="str">
        <f>Projection!B28</f>
        <v>YOC</v>
      </c>
      <c r="J15" s="75">
        <f>SUMIF(Projection!$B$19:$B$34,$I15,Projection!BE$19:BE$34)</f>
        <v>0</v>
      </c>
      <c r="K15" s="75">
        <f>SUMIF(Projection!$B$19:$B$34,$I15,Projection!BF$19:BF$34)</f>
        <v>10225.03805175038</v>
      </c>
      <c r="L15" s="75">
        <f>SUMIF(Projection!$B$19:$B$34,$I15,Projection!BG$19:BG$34)</f>
        <v>18833.333333333336</v>
      </c>
      <c r="M15" s="75">
        <f>SUMIF(Projection!$B$19:$B$34,$I15,Projection!BH$19:BH$34)</f>
        <v>18833.333333333336</v>
      </c>
      <c r="P15" s="29" t="str">
        <f>Projection!B30</f>
        <v>Multi-discliplinary Team Meetings</v>
      </c>
      <c r="Q15" s="75">
        <f>INDEX(Projection!$BE$64:$BH$79,MATCH(Summary!$P15,Projection!$B$64:$B$79,0),MATCH(Summary!Q$4,Projection!$BE$3:$BH$3))</f>
        <v>0</v>
      </c>
      <c r="R15" s="75">
        <f>INDEX(Projection!$BE$104:$BH$119,MATCH(Summary!$P15,Projection!$B$64:$B$79,0),MATCH(Summary!R$4,Projection!$BE$3:$BH$3))</f>
        <v>0</v>
      </c>
      <c r="S15" s="75">
        <f>INDEX(Projection!$BE$124:$BH$139,MATCH(Summary!$P15,Projection!$B$64:$B$79,0),MATCH(Summary!S$4,Projection!$BE$3:$BH$3))</f>
        <v>0</v>
      </c>
      <c r="T15" s="75">
        <f>INDEX(Projection!$BE$144:$BH$159,MATCH(Summary!$P15,Projection!$B$64:$B$79,0),MATCH(Summary!T$4,Projection!$BE$3:$BH$3))</f>
        <v>0</v>
      </c>
      <c r="U15" s="75">
        <f>INDEX(Projection!$BE$64:$BH$79,MATCH(Summary!$P15,Projection!$B$64:$B$79,0),MATCH(Summary!U$4,Projection!$BE$3:$BH$3))</f>
        <v>569.8360655737705</v>
      </c>
      <c r="V15" s="75">
        <f>INDEX(Projection!$BE$104:$BH$119,MATCH(Summary!$P15,Projection!$B$64:$B$79,0),MATCH(Summary!V$4,Projection!$BE$3:$BH$3))</f>
        <v>569.8360655737705</v>
      </c>
      <c r="W15" s="75">
        <f>INDEX(Projection!$BE$124:$BH$139,MATCH(Summary!$P15,Projection!$B$64:$B$79,0),MATCH(Summary!W$4,Projection!$BE$3:$BH$3))</f>
        <v>0</v>
      </c>
      <c r="X15" s="75">
        <f>INDEX(Projection!$BE$144:$BH$159,MATCH(Summary!$P15,Projection!$B$64:$B$79,0),MATCH(Summary!X$4,Projection!$BE$3:$BH$3))</f>
        <v>0</v>
      </c>
      <c r="Y15" s="75">
        <f>INDEX(Projection!$BE$64:$BH$79,MATCH(Summary!$P15,Projection!$B$64:$B$79,0),MATCH(Summary!Y$4,Projection!$BE$3:$BH$3))</f>
        <v>720</v>
      </c>
      <c r="Z15" s="75">
        <f>INDEX(Projection!$BE$104:$BH$119,MATCH(Summary!$P15,Projection!$B$64:$B$79,0),MATCH(Summary!Z$4,Projection!$BE$3:$BH$3))</f>
        <v>720</v>
      </c>
      <c r="AA15" s="75">
        <f>INDEX(Projection!$BE$124:$BH$139,MATCH(Summary!$P15,Projection!$B$64:$B$79,0),MATCH(Summary!AA$4,Projection!$BE$3:$BH$3))</f>
        <v>0</v>
      </c>
      <c r="AB15" s="75">
        <f>INDEX(Projection!$BE$144:$BH$159,MATCH(Summary!$P15,Projection!$B$64:$B$79,0),MATCH(Summary!AB$4,Projection!$BE$3:$BH$3))</f>
        <v>0</v>
      </c>
      <c r="AC15" s="75">
        <f>INDEX(Projection!$BE$64:$BH$79,MATCH(Summary!$P15,Projection!$B$64:$B$79,0),MATCH(Summary!AC$4,Projection!$BE$3:$BH$3))</f>
        <v>720</v>
      </c>
      <c r="AD15" s="75">
        <f>INDEX(Projection!$BE$104:$BH$119,MATCH(Summary!$P15,Projection!$B$64:$B$79,0),MATCH(Summary!AD$4,Projection!$BE$3:$BH$3))</f>
        <v>720</v>
      </c>
      <c r="AE15" s="75">
        <f>INDEX(Projection!$BE$124:$BH$139,MATCH(Summary!$P15,Projection!$B$64:$B$79,0),MATCH(Summary!AE$4,Projection!$BE$3:$BH$3))</f>
        <v>0</v>
      </c>
      <c r="AF15" s="75">
        <f>INDEX(Projection!$BE$144:$BH$159,MATCH(Summary!$P15,Projection!$B$64:$B$79,0),MATCH(Summary!AF$4,Projection!$BE$3:$BH$3))</f>
        <v>0</v>
      </c>
    </row>
    <row r="16" spans="1:32" ht="21" customHeight="1" x14ac:dyDescent="0.3">
      <c r="A16" s="85" t="s">
        <v>105</v>
      </c>
      <c r="B16" s="19">
        <f>'Master Data'!O11</f>
        <v>372000</v>
      </c>
      <c r="C16" s="29">
        <f>$B16+J49</f>
        <v>372000</v>
      </c>
      <c r="D16" s="29">
        <f>$B16+K49</f>
        <v>376787.69068653416</v>
      </c>
      <c r="E16" s="29">
        <f>$B16+L49</f>
        <v>388353.87261444796</v>
      </c>
      <c r="F16" s="29">
        <f>$B16+M49</f>
        <v>385137.5905631659</v>
      </c>
      <c r="H16" s="33"/>
      <c r="I16" s="29" t="str">
        <f>Projection!B29</f>
        <v>Extended hours</v>
      </c>
      <c r="J16" s="75">
        <f>SUMIF(Projection!$B$19:$B$34,$I16,Projection!BE$19:BE$34)</f>
        <v>0</v>
      </c>
      <c r="K16" s="75">
        <f>SUMIF(Projection!$B$19:$B$34,$I16,Projection!BF$19:BF$34)</f>
        <v>0</v>
      </c>
      <c r="L16" s="75">
        <f>SUMIF(Projection!$B$19:$B$34,$I16,Projection!BG$19:BG$34)</f>
        <v>0</v>
      </c>
      <c r="M16" s="75">
        <f>SUMIF(Projection!$B$19:$B$34,$I16,Projection!BH$19:BH$34)</f>
        <v>0</v>
      </c>
      <c r="P16" s="29" t="str">
        <f>Projection!B31</f>
        <v>Huddles</v>
      </c>
      <c r="Q16" s="75">
        <f>INDEX(Projection!$BE$64:$BH$79,MATCH(Summary!$P16,Projection!$B$64:$B$79,0),MATCH(Summary!Q$4,Projection!$BE$3:$BH$3))</f>
        <v>0</v>
      </c>
      <c r="R16" s="75">
        <f>INDEX(Projection!$BE$104:$BH$119,MATCH(Summary!$P16,Projection!$B$64:$B$79,0),MATCH(Summary!R$4,Projection!$BE$3:$BH$3))</f>
        <v>0</v>
      </c>
      <c r="S16" s="75">
        <f>INDEX(Projection!$BE$124:$BH$139,MATCH(Summary!$P16,Projection!$B$64:$B$79,0),MATCH(Summary!S$4,Projection!$BE$3:$BH$3))</f>
        <v>0</v>
      </c>
      <c r="T16" s="75">
        <f>INDEX(Projection!$BE$144:$BH$159,MATCH(Summary!$P16,Projection!$B$64:$B$79,0),MATCH(Summary!T$4,Projection!$BE$3:$BH$3))</f>
        <v>0</v>
      </c>
      <c r="U16" s="75">
        <f>INDEX(Projection!$BE$64:$BH$79,MATCH(Summary!$P16,Projection!$B$64:$B$79,0),MATCH(Summary!U$4,Projection!$BE$3:$BH$3))</f>
        <v>22152</v>
      </c>
      <c r="V16" s="75">
        <f>INDEX(Projection!$BE$104:$BH$119,MATCH(Summary!$P16,Projection!$B$64:$B$79,0),MATCH(Summary!V$4,Projection!$BE$3:$BH$3))</f>
        <v>19344.000000000004</v>
      </c>
      <c r="W16" s="75">
        <f>INDEX(Projection!$BE$124:$BH$139,MATCH(Summary!$P16,Projection!$B$64:$B$79,0),MATCH(Summary!W$4,Projection!$BE$3:$BH$3))</f>
        <v>9360.0000000000018</v>
      </c>
      <c r="X16" s="75">
        <f>INDEX(Projection!$BE$144:$BH$159,MATCH(Summary!$P16,Projection!$B$64:$B$79,0),MATCH(Summary!X$4,Projection!$BE$3:$BH$3))</f>
        <v>3900</v>
      </c>
      <c r="Y16" s="75">
        <f>INDEX(Projection!$BE$64:$BH$79,MATCH(Summary!$P16,Projection!$B$64:$B$79,0),MATCH(Summary!Y$4,Projection!$BE$3:$BH$3))</f>
        <v>22152</v>
      </c>
      <c r="Z16" s="75">
        <f>INDEX(Projection!$BE$104:$BH$119,MATCH(Summary!$P16,Projection!$B$64:$B$79,0),MATCH(Summary!Z$4,Projection!$BE$3:$BH$3))</f>
        <v>19344.000000000004</v>
      </c>
      <c r="AA16" s="75">
        <f>INDEX(Projection!$BE$124:$BH$139,MATCH(Summary!$P16,Projection!$B$64:$B$79,0),MATCH(Summary!AA$4,Projection!$BE$3:$BH$3))</f>
        <v>9360.0000000000018</v>
      </c>
      <c r="AB16" s="75">
        <f>INDEX(Projection!$BE$144:$BH$159,MATCH(Summary!$P16,Projection!$B$64:$B$79,0),MATCH(Summary!AB$4,Projection!$BE$3:$BH$3))</f>
        <v>3900</v>
      </c>
      <c r="AC16" s="75">
        <f>INDEX(Projection!$BE$64:$BH$79,MATCH(Summary!$P16,Projection!$B$64:$B$79,0),MATCH(Summary!AC$4,Projection!$BE$3:$BH$3))</f>
        <v>22152</v>
      </c>
      <c r="AD16" s="75">
        <f>INDEX(Projection!$BE$104:$BH$119,MATCH(Summary!$P16,Projection!$B$64:$B$79,0),MATCH(Summary!AD$4,Projection!$BE$3:$BH$3))</f>
        <v>19344.000000000004</v>
      </c>
      <c r="AE16" s="75">
        <f>INDEX(Projection!$BE$124:$BH$139,MATCH(Summary!$P16,Projection!$B$64:$B$79,0),MATCH(Summary!AE$4,Projection!$BE$3:$BH$3))</f>
        <v>9360.0000000000018</v>
      </c>
      <c r="AF16" s="75">
        <f>INDEX(Projection!$BE$144:$BH$159,MATCH(Summary!$P16,Projection!$B$64:$B$79,0),MATCH(Summary!AF$4,Projection!$BE$3:$BH$3))</f>
        <v>3900</v>
      </c>
    </row>
    <row r="17" spans="1:32" ht="21" customHeight="1" x14ac:dyDescent="0.3">
      <c r="A17" s="85" t="s">
        <v>374</v>
      </c>
      <c r="B17" s="19">
        <f>'Master Data'!O20</f>
        <v>45000</v>
      </c>
      <c r="C17" s="29">
        <f>$B17+J50</f>
        <v>45000</v>
      </c>
      <c r="D17" s="29">
        <f>$B17+K50</f>
        <v>81862.382513661199</v>
      </c>
      <c r="E17" s="29">
        <f>$B17+L50</f>
        <v>90672</v>
      </c>
      <c r="F17" s="29">
        <f>$B17+M50</f>
        <v>90672</v>
      </c>
      <c r="H17" s="33"/>
      <c r="I17" s="29" t="str">
        <f>Projection!B30</f>
        <v>Multi-discliplinary Team Meetings</v>
      </c>
      <c r="J17" s="75">
        <f>SUMIF(Projection!$B$19:$B$34,$I17,Projection!BE$19:BE$34)</f>
        <v>0</v>
      </c>
      <c r="K17" s="75">
        <f>SUMIF(Projection!$B$19:$B$34,$I17,Projection!BF$19:BF$34)</f>
        <v>-493.85792349726773</v>
      </c>
      <c r="L17" s="75">
        <f>SUMIF(Projection!$B$19:$B$34,$I17,Projection!BG$19:BG$34)</f>
        <v>-624</v>
      </c>
      <c r="M17" s="75">
        <f>SUMIF(Projection!$B$19:$B$34,$I17,Projection!BH$19:BH$34)</f>
        <v>-624</v>
      </c>
      <c r="P17" s="29" t="str">
        <f>Projection!B32</f>
        <v>Health Care Assistants</v>
      </c>
      <c r="Q17" s="75">
        <f>INDEX(Projection!$BE$64:$BH$79,MATCH(Summary!$P17,Projection!$B$64:$B$79,0),MATCH(Summary!Q$4,Projection!$BE$3:$BH$3))</f>
        <v>0</v>
      </c>
      <c r="R17" s="75">
        <f>INDEX(Projection!$BE$104:$BH$119,MATCH(Summary!$P17,Projection!$B$64:$B$79,0),MATCH(Summary!R$4,Projection!$BE$3:$BH$3))</f>
        <v>0</v>
      </c>
      <c r="S17" s="75">
        <f>INDEX(Projection!$BE$124:$BH$139,MATCH(Summary!$P17,Projection!$B$64:$B$79,0),MATCH(Summary!S$4,Projection!$BE$3:$BH$3))</f>
        <v>0</v>
      </c>
      <c r="T17" s="75">
        <f>INDEX(Projection!$BE$144:$BH$159,MATCH(Summary!$P17,Projection!$B$64:$B$79,0),MATCH(Summary!T$4,Projection!$BE$3:$BH$3))</f>
        <v>0</v>
      </c>
      <c r="U17" s="75">
        <f>INDEX(Projection!$BE$64:$BH$79,MATCH(Summary!$P17,Projection!$B$64:$B$79,0),MATCH(Summary!U$4,Projection!$BE$3:$BH$3))</f>
        <v>0</v>
      </c>
      <c r="V17" s="75">
        <f>INDEX(Projection!$BE$104:$BH$119,MATCH(Summary!$P17,Projection!$B$64:$B$79,0),MATCH(Summary!V$4,Projection!$BE$3:$BH$3))</f>
        <v>-72939.016393442624</v>
      </c>
      <c r="W17" s="75">
        <f>INDEX(Projection!$BE$124:$BH$139,MATCH(Summary!$P17,Projection!$B$64:$B$79,0),MATCH(Summary!W$4,Projection!$BE$3:$BH$3))</f>
        <v>91173.770491803269</v>
      </c>
      <c r="X17" s="75">
        <f>INDEX(Projection!$BE$144:$BH$159,MATCH(Summary!$P17,Projection!$B$64:$B$79,0),MATCH(Summary!X$4,Projection!$BE$3:$BH$3))</f>
        <v>0</v>
      </c>
      <c r="Y17" s="75">
        <f>INDEX(Projection!$BE$64:$BH$79,MATCH(Summary!$P17,Projection!$B$64:$B$79,0),MATCH(Summary!Y$4,Projection!$BE$3:$BH$3))</f>
        <v>0</v>
      </c>
      <c r="Z17" s="75">
        <f>INDEX(Projection!$BE$104:$BH$119,MATCH(Summary!$P17,Projection!$B$64:$B$79,0),MATCH(Summary!Z$4,Projection!$BE$3:$BH$3))</f>
        <v>-92160</v>
      </c>
      <c r="AA17" s="75">
        <f>INDEX(Projection!$BE$124:$BH$139,MATCH(Summary!$P17,Projection!$B$64:$B$79,0),MATCH(Summary!AA$4,Projection!$BE$3:$BH$3))</f>
        <v>115199.99999999999</v>
      </c>
      <c r="AB17" s="75">
        <f>INDEX(Projection!$BE$144:$BH$159,MATCH(Summary!$P17,Projection!$B$64:$B$79,0),MATCH(Summary!AB$4,Projection!$BE$3:$BH$3))</f>
        <v>0</v>
      </c>
      <c r="AC17" s="75">
        <f>INDEX(Projection!$BE$64:$BH$79,MATCH(Summary!$P17,Projection!$B$64:$B$79,0),MATCH(Summary!AC$4,Projection!$BE$3:$BH$3))</f>
        <v>0</v>
      </c>
      <c r="AD17" s="75">
        <f>INDEX(Projection!$BE$104:$BH$119,MATCH(Summary!$P17,Projection!$B$64:$B$79,0),MATCH(Summary!AD$4,Projection!$BE$3:$BH$3))</f>
        <v>-92160</v>
      </c>
      <c r="AE17" s="75">
        <f>INDEX(Projection!$BE$124:$BH$139,MATCH(Summary!$P17,Projection!$B$64:$B$79,0),MATCH(Summary!AE$4,Projection!$BE$3:$BH$3))</f>
        <v>115199.99999999999</v>
      </c>
      <c r="AF17" s="75">
        <f>INDEX(Projection!$BE$144:$BH$159,MATCH(Summary!$P17,Projection!$B$64:$B$79,0),MATCH(Summary!AF$4,Projection!$BE$3:$BH$3))</f>
        <v>0</v>
      </c>
    </row>
    <row r="18" spans="1:32" ht="21" customHeight="1" x14ac:dyDescent="0.3">
      <c r="A18" s="85" t="s">
        <v>16</v>
      </c>
      <c r="B18" s="19">
        <f>'Master Data'!O21</f>
        <v>234000</v>
      </c>
      <c r="C18" s="29">
        <f>$B18+J51</f>
        <v>234000</v>
      </c>
      <c r="D18" s="29">
        <f>$B18+K51</f>
        <v>266768.98893572181</v>
      </c>
      <c r="E18" s="29">
        <f>$B18+L51</f>
        <v>248026.48893572181</v>
      </c>
      <c r="F18" s="29">
        <f>$B18+M51</f>
        <v>229283.98893572183</v>
      </c>
      <c r="H18" s="33"/>
      <c r="I18" s="29" t="str">
        <f>Projection!B31</f>
        <v>Huddles</v>
      </c>
      <c r="J18" s="75">
        <f>SUMIF(Projection!$B$19:$B$34,$I18,Projection!BE$19:BE$34)</f>
        <v>0</v>
      </c>
      <c r="K18" s="75">
        <f>SUMIF(Projection!$B$19:$B$34,$I18,Projection!BF$19:BF$34)</f>
        <v>-19011.199999999997</v>
      </c>
      <c r="L18" s="75">
        <f>SUMIF(Projection!$B$19:$B$34,$I18,Projection!BG$19:BG$34)</f>
        <v>-19011.199999999997</v>
      </c>
      <c r="M18" s="75">
        <f>SUMIF(Projection!$B$19:$B$34,$I18,Projection!BH$19:BH$34)</f>
        <v>-19011.199999999997</v>
      </c>
      <c r="P18" s="29" t="str">
        <f>Projection!B33</f>
        <v>Patient portals</v>
      </c>
      <c r="Q18" s="75">
        <f>INDEX(Projection!$BE$64:$BH$79,MATCH(Summary!$P18,Projection!$B$64:$B$79,0),MATCH(Summary!Q$4,Projection!$BE$3:$BH$3))</f>
        <v>0</v>
      </c>
      <c r="R18" s="75">
        <f>INDEX(Projection!$BE$104:$BH$119,MATCH(Summary!$P18,Projection!$B$64:$B$79,0),MATCH(Summary!R$4,Projection!$BE$3:$BH$3))</f>
        <v>0</v>
      </c>
      <c r="S18" s="75">
        <f>INDEX(Projection!$BE$124:$BH$139,MATCH(Summary!$P18,Projection!$B$64:$B$79,0),MATCH(Summary!S$4,Projection!$BE$3:$BH$3))</f>
        <v>0</v>
      </c>
      <c r="T18" s="75">
        <f>INDEX(Projection!$BE$144:$BH$159,MATCH(Summary!$P18,Projection!$B$64:$B$79,0),MATCH(Summary!T$4,Projection!$BE$3:$BH$3))</f>
        <v>0</v>
      </c>
      <c r="U18" s="75">
        <f>INDEX(Projection!$BE$64:$BH$79,MATCH(Summary!$P18,Projection!$B$64:$B$79,0),MATCH(Summary!U$4,Projection!$BE$3:$BH$3))</f>
        <v>4658.2739726027412</v>
      </c>
      <c r="V18" s="75">
        <f>INDEX(Projection!$BE$104:$BH$119,MATCH(Summary!$P18,Projection!$B$64:$B$79,0),MATCH(Summary!V$4,Projection!$BE$3:$BH$3))</f>
        <v>-2727.2076712328776</v>
      </c>
      <c r="W18" s="75">
        <f>INDEX(Projection!$BE$124:$BH$139,MATCH(Summary!$P18,Projection!$B$64:$B$79,0),MATCH(Summary!W$4,Projection!$BE$3:$BH$3))</f>
        <v>0</v>
      </c>
      <c r="X18" s="75">
        <f>INDEX(Projection!$BE$144:$BH$159,MATCH(Summary!$P18,Projection!$B$64:$B$79,0),MATCH(Summary!X$4,Projection!$BE$3:$BH$3))</f>
        <v>-28220.670684931501</v>
      </c>
      <c r="Y18" s="75">
        <f>INDEX(Projection!$BE$64:$BH$79,MATCH(Summary!$P18,Projection!$B$64:$B$79,0),MATCH(Summary!Y$4,Projection!$BE$3:$BH$3))</f>
        <v>13238.273972602743</v>
      </c>
      <c r="Z18" s="75">
        <f>INDEX(Projection!$BE$104:$BH$119,MATCH(Summary!$P18,Projection!$B$64:$B$79,0),MATCH(Summary!Z$4,Projection!$BE$3:$BH$3))</f>
        <v>-7750.4076712328788</v>
      </c>
      <c r="AA18" s="75">
        <f>INDEX(Projection!$BE$124:$BH$139,MATCH(Summary!$P18,Projection!$B$64:$B$79,0),MATCH(Summary!AA$4,Projection!$BE$3:$BH$3))</f>
        <v>0</v>
      </c>
      <c r="AB18" s="75">
        <f>INDEX(Projection!$BE$144:$BH$159,MATCH(Summary!$P18,Projection!$B$64:$B$79,0),MATCH(Summary!AB$4,Projection!$BE$3:$BH$3))</f>
        <v>-80199.870684931506</v>
      </c>
      <c r="AC18" s="75">
        <f>INDEX(Projection!$BE$64:$BH$79,MATCH(Summary!$P18,Projection!$B$64:$B$79,0),MATCH(Summary!AC$4,Projection!$BE$3:$BH$3))</f>
        <v>21818.273972602743</v>
      </c>
      <c r="AD18" s="75">
        <f>INDEX(Projection!$BE$104:$BH$119,MATCH(Summary!$P18,Projection!$B$64:$B$79,0),MATCH(Summary!AD$4,Projection!$BE$3:$BH$3))</f>
        <v>-12773.60767123288</v>
      </c>
      <c r="AE18" s="75">
        <f>INDEX(Projection!$BE$124:$BH$139,MATCH(Summary!$P18,Projection!$B$64:$B$79,0),MATCH(Summary!AE$4,Projection!$BE$3:$BH$3))</f>
        <v>0</v>
      </c>
      <c r="AF18" s="75">
        <f>INDEX(Projection!$BE$144:$BH$159,MATCH(Summary!$P18,Projection!$B$64:$B$79,0),MATCH(Summary!AF$4,Projection!$BE$3:$BH$3))</f>
        <v>-132179.07068493147</v>
      </c>
    </row>
    <row r="19" spans="1:32" ht="21" customHeight="1" x14ac:dyDescent="0.3">
      <c r="A19" s="84" t="s">
        <v>375</v>
      </c>
      <c r="B19" s="29">
        <f>SUM(B15:B18)</f>
        <v>1929000</v>
      </c>
      <c r="C19" s="29">
        <f t="shared" ref="C19:F19" si="1">SUM(C15:C18)</f>
        <v>1929000</v>
      </c>
      <c r="D19" s="29">
        <f t="shared" si="1"/>
        <v>1956541.128774225</v>
      </c>
      <c r="E19" s="29">
        <f t="shared" si="1"/>
        <v>1945869.2609179253</v>
      </c>
      <c r="F19" s="29">
        <f t="shared" si="1"/>
        <v>1932391.2480974125</v>
      </c>
      <c r="H19" s="33"/>
      <c r="I19" s="29" t="str">
        <f>Projection!B32</f>
        <v>Health Care Assistants</v>
      </c>
      <c r="J19" s="75">
        <f>SUMIF(Projection!$B$19:$B$34,$I19,Projection!BE$19:BE$34)</f>
        <v>0</v>
      </c>
      <c r="K19" s="75">
        <f>SUMIF(Projection!$B$19:$B$34,$I19,Projection!BF$19:BF$34)</f>
        <v>4862.601092896175</v>
      </c>
      <c r="L19" s="75">
        <f>SUMIF(Projection!$B$19:$B$34,$I19,Projection!BG$19:BG$34)</f>
        <v>6144</v>
      </c>
      <c r="M19" s="75">
        <f>SUMIF(Projection!$B$19:$B$34,$I19,Projection!BH$19:BH$34)</f>
        <v>6144</v>
      </c>
      <c r="P19" s="29" t="str">
        <f>Projection!B34</f>
        <v>Other (staff release for training and implementation activity)</v>
      </c>
      <c r="Q19" s="75">
        <f>INDEX(Projection!$BE$64:$BH$79,MATCH(Summary!$P19,Projection!$B$64:$B$79,0),MATCH(Summary!Q$4,Projection!$BE$3:$BH$3))</f>
        <v>0</v>
      </c>
      <c r="R19" s="75">
        <f>INDEX(Projection!$BE$104:$BH$119,MATCH(Summary!$P19,Projection!$B$64:$B$79,0),MATCH(Summary!R$4,Projection!$BE$3:$BH$3))</f>
        <v>0</v>
      </c>
      <c r="S19" s="75">
        <f>INDEX(Projection!$BE$124:$BH$139,MATCH(Summary!$P19,Projection!$B$64:$B$79,0),MATCH(Summary!S$4,Projection!$BE$3:$BH$3))</f>
        <v>0</v>
      </c>
      <c r="T19" s="75">
        <f>INDEX(Projection!$BE$144:$BH$159,MATCH(Summary!$P19,Projection!$B$64:$B$79,0),MATCH(Summary!T$4,Projection!$BE$3:$BH$3))</f>
        <v>0</v>
      </c>
      <c r="U19" s="75">
        <f>INDEX(Projection!$BE$64:$BH$79,MATCH(Summary!$P19,Projection!$B$64:$B$79,0),MATCH(Summary!U$4,Projection!$BE$3:$BH$3))</f>
        <v>852</v>
      </c>
      <c r="V19" s="75">
        <f>INDEX(Projection!$BE$104:$BH$119,MATCH(Summary!$P19,Projection!$B$64:$B$79,0),MATCH(Summary!V$4,Projection!$BE$3:$BH$3))</f>
        <v>744</v>
      </c>
      <c r="W19" s="75">
        <f>INDEX(Projection!$BE$124:$BH$139,MATCH(Summary!$P19,Projection!$B$64:$B$79,0),MATCH(Summary!W$4,Projection!$BE$3:$BH$3))</f>
        <v>0</v>
      </c>
      <c r="X19" s="75">
        <f>INDEX(Projection!$BE$144:$BH$159,MATCH(Summary!$P19,Projection!$B$64:$B$79,0),MATCH(Summary!X$4,Projection!$BE$3:$BH$3))</f>
        <v>0</v>
      </c>
      <c r="Y19" s="75">
        <f>INDEX(Projection!$BE$64:$BH$79,MATCH(Summary!$P19,Projection!$B$64:$B$79,0),MATCH(Summary!Y$4,Projection!$BE$3:$BH$3))</f>
        <v>852</v>
      </c>
      <c r="Z19" s="75">
        <f>INDEX(Projection!$BE$104:$BH$119,MATCH(Summary!$P19,Projection!$B$64:$B$79,0),MATCH(Summary!Z$4,Projection!$BE$3:$BH$3))</f>
        <v>744</v>
      </c>
      <c r="AA19" s="75">
        <f>INDEX(Projection!$BE$124:$BH$139,MATCH(Summary!$P19,Projection!$B$64:$B$79,0),MATCH(Summary!AA$4,Projection!$BE$3:$BH$3))</f>
        <v>0</v>
      </c>
      <c r="AB19" s="75">
        <f>INDEX(Projection!$BE$144:$BH$159,MATCH(Summary!$P19,Projection!$B$64:$B$79,0),MATCH(Summary!AB$4,Projection!$BE$3:$BH$3))</f>
        <v>0</v>
      </c>
      <c r="AC19" s="75">
        <f>INDEX(Projection!$BE$64:$BH$79,MATCH(Summary!$P19,Projection!$B$64:$B$79,0),MATCH(Summary!AC$4,Projection!$BE$3:$BH$3))</f>
        <v>852</v>
      </c>
      <c r="AD19" s="75">
        <f>INDEX(Projection!$BE$104:$BH$119,MATCH(Summary!$P19,Projection!$B$64:$B$79,0),MATCH(Summary!AD$4,Projection!$BE$3:$BH$3))</f>
        <v>744</v>
      </c>
      <c r="AE19" s="75">
        <f>INDEX(Projection!$BE$124:$BH$139,MATCH(Summary!$P19,Projection!$B$64:$B$79,0),MATCH(Summary!AE$4,Projection!$BE$3:$BH$3))</f>
        <v>0</v>
      </c>
      <c r="AF19" s="75">
        <f>INDEX(Projection!$BE$144:$BH$159,MATCH(Summary!$P19,Projection!$B$64:$B$79,0),MATCH(Summary!AF$4,Projection!$BE$3:$BH$3))</f>
        <v>0</v>
      </c>
    </row>
    <row r="20" spans="1:32" ht="21" customHeight="1" x14ac:dyDescent="0.3">
      <c r="A20" s="29" t="s">
        <v>376</v>
      </c>
      <c r="B20" s="29">
        <f>'Master Data'!O8+'Master Data'!O22+'Master Data'!O24</f>
        <v>371000</v>
      </c>
      <c r="C20" s="29">
        <f>$B$20+J39</f>
        <v>371000</v>
      </c>
      <c r="D20" s="29">
        <f t="shared" ref="D20:F20" si="2">$B$20+K39</f>
        <v>377222.87284861255</v>
      </c>
      <c r="E20" s="29">
        <f t="shared" si="2"/>
        <v>375642.87284861255</v>
      </c>
      <c r="F20" s="29">
        <f t="shared" si="2"/>
        <v>377062.87284861255</v>
      </c>
      <c r="H20" s="33"/>
      <c r="I20" s="29" t="str">
        <f>Projection!B33</f>
        <v>Patient portals</v>
      </c>
      <c r="J20" s="75">
        <f>SUMIF(Projection!$B$19:$B$34,$I20,Projection!BE$19:BE$34)</f>
        <v>0</v>
      </c>
      <c r="K20" s="75">
        <f>SUMIF(Projection!$B$19:$B$34,$I20,Projection!BF$19:BF$34)</f>
        <v>-3544.8053333333346</v>
      </c>
      <c r="L20" s="75">
        <f>SUMIF(Projection!$B$19:$B$34,$I20,Projection!BG$19:BG$34)</f>
        <v>-10073.925333333336</v>
      </c>
      <c r="M20" s="75">
        <f>SUMIF(Projection!$B$19:$B$34,$I20,Projection!BH$19:BH$34)</f>
        <v>-16603.045333333335</v>
      </c>
      <c r="P20" s="29" t="s">
        <v>137</v>
      </c>
      <c r="Q20" s="75">
        <f>SUM(Q6:Q19)</f>
        <v>0</v>
      </c>
      <c r="R20" s="75">
        <f>SUM(R6:R19)</f>
        <v>0</v>
      </c>
      <c r="S20" s="75">
        <f>SUM(S6:S19)</f>
        <v>0</v>
      </c>
      <c r="T20" s="75">
        <f>SUM(T6:T19)</f>
        <v>0</v>
      </c>
      <c r="U20" s="75">
        <f>SUM(U6:U19)</f>
        <v>-32502.03379743993</v>
      </c>
      <c r="V20" s="75">
        <f>SUM(V6:V19)</f>
        <v>9958.3966279911037</v>
      </c>
      <c r="W20" s="75">
        <f>SUM(W6:W19)</f>
        <v>100533.77049180327</v>
      </c>
      <c r="X20" s="75">
        <f>SUM(X6:X19)</f>
        <v>90879.329315068491</v>
      </c>
      <c r="Y20" s="75">
        <f>SUM(Y6:Y19)</f>
        <v>-41033.616438356163</v>
      </c>
      <c r="Z20" s="75">
        <f>SUM(Z6:Z19)</f>
        <v>34016.055038051738</v>
      </c>
      <c r="AA20" s="75">
        <f>SUM(AA6:AA19)</f>
        <v>124559.99999999999</v>
      </c>
      <c r="AB20" s="75">
        <f>SUM(AB6:AB19)</f>
        <v>38900.129315068494</v>
      </c>
      <c r="AC20" s="75">
        <f>SUM(AC6:AC19)</f>
        <v>-35153.616438356163</v>
      </c>
      <c r="AD20" s="75">
        <f>SUM(AD6:AD19)</f>
        <v>27326.188371385084</v>
      </c>
      <c r="AE20" s="75">
        <f>SUM(AE6:AE19)</f>
        <v>124559.99999999999</v>
      </c>
      <c r="AF20" s="75">
        <f>SUM(AF6:AF19)</f>
        <v>-13079.070684931474</v>
      </c>
    </row>
    <row r="21" spans="1:32" ht="21" customHeight="1" x14ac:dyDescent="0.3">
      <c r="A21" s="258" t="s">
        <v>377</v>
      </c>
      <c r="B21" s="28">
        <f>SUM(B19:B20)</f>
        <v>2300000</v>
      </c>
      <c r="C21" s="28">
        <f t="shared" ref="C21:F21" si="3">SUM(C19:C20)</f>
        <v>2300000</v>
      </c>
      <c r="D21" s="28">
        <f t="shared" si="3"/>
        <v>2333764.0016228375</v>
      </c>
      <c r="E21" s="28">
        <f t="shared" si="3"/>
        <v>2321512.133766538</v>
      </c>
      <c r="F21" s="28">
        <f t="shared" si="3"/>
        <v>2309454.120946025</v>
      </c>
      <c r="H21" s="33"/>
      <c r="I21" s="29" t="str">
        <f>Projection!B34</f>
        <v>Other (staff release for training and implementation activity)</v>
      </c>
      <c r="J21" s="75">
        <f>SUMIF(Projection!$B$19:$B$34,$I21,Projection!BE$19:BE$34)</f>
        <v>0</v>
      </c>
      <c r="K21" s="75">
        <f>SUMIF(Projection!$B$19:$B$34,$I21,Projection!BF$19:BF$34)</f>
        <v>-731.19999999999982</v>
      </c>
      <c r="L21" s="75">
        <f>SUMIF(Projection!$B$19:$B$34,$I21,Projection!BG$19:BG$34)</f>
        <v>-731.19999999999982</v>
      </c>
      <c r="M21" s="75">
        <f>SUMIF(Projection!$B$19:$B$34,$I21,Projection!BH$19:BH$34)</f>
        <v>-731.19999999999982</v>
      </c>
      <c r="P21" s="29" t="s">
        <v>138</v>
      </c>
      <c r="Q21" s="98">
        <f>IFERROR('Master Data'!$O$10/(GP_FTE*'Master Data'!$C$15*60),0)</f>
        <v>1.4423076923076923</v>
      </c>
      <c r="R21" s="98">
        <f>IFERROR('Master Data'!$O$11/(Nurse_FTE*'Master Data'!$C$15*60),0)</f>
        <v>0.48076923076923078</v>
      </c>
      <c r="S21" s="98">
        <f>HCA!$C$8/60</f>
        <v>0.36666666666666664</v>
      </c>
      <c r="T21" s="98">
        <f>IFERROR('Master Data'!$O$21/(Admin_FTE*'Master Data'!$C$15*60),0)</f>
        <v>0.36057692307692307</v>
      </c>
      <c r="U21" s="98">
        <f>Q21</f>
        <v>1.4423076923076923</v>
      </c>
      <c r="V21" s="98">
        <f>R21</f>
        <v>0.48076923076923078</v>
      </c>
      <c r="W21" s="98">
        <f>S21</f>
        <v>0.36666666666666664</v>
      </c>
      <c r="X21" s="98">
        <f>T21</f>
        <v>0.36057692307692307</v>
      </c>
      <c r="Y21" s="98">
        <f t="shared" ref="Y21:AF21" si="4">U21</f>
        <v>1.4423076923076923</v>
      </c>
      <c r="Z21" s="98">
        <f t="shared" si="4"/>
        <v>0.48076923076923078</v>
      </c>
      <c r="AA21" s="98">
        <f t="shared" si="4"/>
        <v>0.36666666666666664</v>
      </c>
      <c r="AB21" s="98">
        <f t="shared" si="4"/>
        <v>0.36057692307692307</v>
      </c>
      <c r="AC21" s="98">
        <f t="shared" si="4"/>
        <v>1.4423076923076923</v>
      </c>
      <c r="AD21" s="98">
        <f t="shared" si="4"/>
        <v>0.48076923076923078</v>
      </c>
      <c r="AE21" s="98">
        <f t="shared" si="4"/>
        <v>0.36666666666666664</v>
      </c>
      <c r="AF21" s="98">
        <f t="shared" si="4"/>
        <v>0.36057692307692307</v>
      </c>
    </row>
    <row r="22" spans="1:32" ht="21" customHeight="1" x14ac:dyDescent="0.3">
      <c r="H22" s="33"/>
      <c r="J22" s="75">
        <f>SUM(J6:J21)</f>
        <v>21293.326086956524</v>
      </c>
      <c r="K22" s="75">
        <f>SUM(K6:K21)</f>
        <v>-70350.962097757452</v>
      </c>
      <c r="L22" s="75">
        <f>SUM(L6:L21)</f>
        <v>-35310.753829131085</v>
      </c>
      <c r="M22" s="75">
        <f>SUM(M6:M21)</f>
        <v>-43806.540495797752</v>
      </c>
      <c r="P22" s="29" t="s">
        <v>139</v>
      </c>
      <c r="Q22" s="75">
        <f>Q20*Q21</f>
        <v>0</v>
      </c>
      <c r="R22" s="75">
        <f>R20*R21</f>
        <v>0</v>
      </c>
      <c r="S22" s="75">
        <f>S20*S21</f>
        <v>0</v>
      </c>
      <c r="T22" s="75">
        <f>T20*T21</f>
        <v>0</v>
      </c>
      <c r="U22" s="75">
        <f>U20*U21</f>
        <v>-46877.933361692209</v>
      </c>
      <c r="V22" s="75">
        <f t="shared" ref="V22:AF22" si="5">V20*V21</f>
        <v>4787.6906865341844</v>
      </c>
      <c r="W22" s="75">
        <f t="shared" si="5"/>
        <v>36862.382513661199</v>
      </c>
      <c r="X22" s="75">
        <f t="shared" si="5"/>
        <v>32768.988935721813</v>
      </c>
      <c r="Y22" s="75">
        <f t="shared" si="5"/>
        <v>-59183.100632244466</v>
      </c>
      <c r="Z22" s="75">
        <f t="shared" si="5"/>
        <v>16353.872614447951</v>
      </c>
      <c r="AA22" s="75">
        <f t="shared" si="5"/>
        <v>45671.999999999993</v>
      </c>
      <c r="AB22" s="75">
        <f t="shared" si="5"/>
        <v>14026.488935721813</v>
      </c>
      <c r="AC22" s="75">
        <f t="shared" si="5"/>
        <v>-50702.331401475232</v>
      </c>
      <c r="AD22" s="75">
        <f t="shared" si="5"/>
        <v>13137.590563165906</v>
      </c>
      <c r="AE22" s="75">
        <f t="shared" si="5"/>
        <v>45671.999999999993</v>
      </c>
      <c r="AF22" s="75">
        <f t="shared" si="5"/>
        <v>-4716.0110642781756</v>
      </c>
    </row>
    <row r="23" spans="1:32" ht="21" customHeight="1" x14ac:dyDescent="0.3">
      <c r="A23" s="210" t="s">
        <v>192</v>
      </c>
      <c r="B23" s="210"/>
      <c r="C23" s="210"/>
      <c r="D23" s="210"/>
      <c r="E23" s="210"/>
      <c r="F23" s="210"/>
      <c r="H23" s="33"/>
      <c r="Q23" s="34"/>
      <c r="R23" s="34"/>
      <c r="S23" s="34">
        <f>S17*S21</f>
        <v>0</v>
      </c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21" customHeight="1" x14ac:dyDescent="0.3">
      <c r="B24" s="198" t="s">
        <v>116</v>
      </c>
      <c r="C24" s="90">
        <v>1</v>
      </c>
      <c r="D24" s="22">
        <v>2</v>
      </c>
      <c r="E24" s="90">
        <v>3</v>
      </c>
      <c r="F24" s="90">
        <v>4</v>
      </c>
      <c r="H24" s="33"/>
      <c r="I24" s="29" t="s">
        <v>195</v>
      </c>
      <c r="J24" s="90">
        <v>1</v>
      </c>
      <c r="K24" s="22">
        <v>2</v>
      </c>
      <c r="L24" s="90">
        <v>3</v>
      </c>
      <c r="M24" s="90">
        <v>4</v>
      </c>
      <c r="P24" s="29" t="s">
        <v>140</v>
      </c>
      <c r="S24" s="29" t="s">
        <v>141</v>
      </c>
      <c r="T24" s="75">
        <f>SUM(Q22:T22)</f>
        <v>0</v>
      </c>
      <c r="W24" s="29" t="s">
        <v>142</v>
      </c>
      <c r="X24" s="75">
        <f>SUM(U22:X22)</f>
        <v>27541.128774224992</v>
      </c>
      <c r="AA24" s="29" t="s">
        <v>143</v>
      </c>
      <c r="AB24" s="75">
        <f>SUM(Y22:AB22)</f>
        <v>16869.26091792529</v>
      </c>
      <c r="AE24" s="29" t="s">
        <v>144</v>
      </c>
      <c r="AF24" s="75">
        <f>SUM(AC22:AF22)</f>
        <v>3391.2480974124892</v>
      </c>
    </row>
    <row r="25" spans="1:32" ht="21" customHeight="1" x14ac:dyDescent="0.3">
      <c r="A25" s="86" t="s">
        <v>114</v>
      </c>
      <c r="B25" s="29">
        <f>B9-B21</f>
        <v>80000</v>
      </c>
      <c r="C25" s="29">
        <f t="shared" ref="C25:F25" si="6">C9-C21</f>
        <v>101293.32608695654</v>
      </c>
      <c r="D25" s="29">
        <f t="shared" si="6"/>
        <v>-24114.963720594998</v>
      </c>
      <c r="E25" s="29">
        <f t="shared" si="6"/>
        <v>23177.112404331099</v>
      </c>
      <c r="F25" s="29">
        <f t="shared" si="6"/>
        <v>26739.338558176998</v>
      </c>
      <c r="H25" s="33"/>
      <c r="I25" s="29" t="str">
        <f>I6</f>
        <v>Covid-19 Disruption - first period</v>
      </c>
      <c r="J25" s="75">
        <f>SUMIF(Projection!$B$42:$B$57,$I25,Projection!BE$42:BH$57)</f>
        <v>0</v>
      </c>
      <c r="K25" s="75">
        <f>SUMIF(Projection!$B$42:$B$57,$I25,Projection!BF$42:BI$57)</f>
        <v>0</v>
      </c>
      <c r="L25" s="75">
        <f>SUMIF(Projection!$B$42:$B$57,$I25,Projection!BG$42:BJ$57)</f>
        <v>0</v>
      </c>
      <c r="M25" s="75">
        <f>SUMIF(Projection!$B$42:$B$57,$I25,Projection!BH$42:BK$57)</f>
        <v>0</v>
      </c>
    </row>
    <row r="26" spans="1:32" ht="21" customHeight="1" x14ac:dyDescent="0.3">
      <c r="A26" s="86" t="s">
        <v>378</v>
      </c>
      <c r="C26" s="75">
        <f>C25-$B$25</f>
        <v>21293.326086956542</v>
      </c>
      <c r="D26" s="75">
        <f>D25-$B$25</f>
        <v>-104114.963720595</v>
      </c>
      <c r="E26" s="75">
        <f>E25-$B$25</f>
        <v>-56822.887595668901</v>
      </c>
      <c r="F26" s="75">
        <f>F25-$B$25</f>
        <v>-53260.661441823002</v>
      </c>
      <c r="H26" s="33"/>
      <c r="I26" s="29" t="str">
        <f>I7</f>
        <v>Covid-19 Disruption - second period</v>
      </c>
      <c r="J26" s="75">
        <f>SUMIF(Projection!$B$42:$B$57,$I26,Projection!BE$42:BH$57)</f>
        <v>0</v>
      </c>
      <c r="K26" s="75">
        <f>SUMIF(Projection!$B$42:$B$57,$I26,Projection!BF$42:BI$57)</f>
        <v>0</v>
      </c>
      <c r="L26" s="75">
        <f>SUMIF(Projection!$B$42:$B$57,$I26,Projection!BG$42:BJ$57)</f>
        <v>0</v>
      </c>
      <c r="M26" s="75">
        <f>SUMIF(Projection!$B$42:$B$57,$I26,Projection!BH$42:BK$57)</f>
        <v>0</v>
      </c>
    </row>
    <row r="27" spans="1:32" ht="21" customHeight="1" x14ac:dyDescent="0.3">
      <c r="D27" s="34"/>
      <c r="H27" s="33"/>
      <c r="I27" s="29" t="str">
        <f t="shared" ref="I27:I38" si="7">I10</f>
        <v>Call Management</v>
      </c>
      <c r="J27" s="75">
        <f>SUMIF(Projection!$B$42:$B$57,$I27,Projection!BE$42:BH$57)</f>
        <v>0</v>
      </c>
      <c r="K27" s="75">
        <f>SUMIF(Projection!$B$42:$B$57,$I27,Projection!BF$42:BI$57)</f>
        <v>2000.0000000000002</v>
      </c>
      <c r="L27" s="75">
        <f>SUMIF(Projection!$B$42:$B$57,$I27,Projection!BG$42:BJ$57)</f>
        <v>0</v>
      </c>
      <c r="M27" s="75">
        <f>SUMIF(Projection!$B$42:$B$57,$I27,Projection!BH$42:BK$57)</f>
        <v>0</v>
      </c>
      <c r="Q27" s="198">
        <v>1</v>
      </c>
      <c r="R27" s="198">
        <v>1</v>
      </c>
      <c r="S27" s="198">
        <v>1</v>
      </c>
      <c r="T27" s="198">
        <v>1</v>
      </c>
      <c r="U27" s="198">
        <v>2</v>
      </c>
      <c r="V27" s="198">
        <v>2</v>
      </c>
      <c r="W27" s="198">
        <v>2</v>
      </c>
      <c r="X27" s="198">
        <v>2</v>
      </c>
      <c r="Y27" s="198">
        <v>3</v>
      </c>
      <c r="Z27" s="198">
        <v>3</v>
      </c>
      <c r="AA27" s="198">
        <v>3</v>
      </c>
      <c r="AB27" s="198">
        <v>3</v>
      </c>
      <c r="AC27" s="198">
        <v>4</v>
      </c>
      <c r="AD27" s="198">
        <v>4</v>
      </c>
      <c r="AE27" s="198">
        <v>4</v>
      </c>
      <c r="AF27" s="198">
        <v>4</v>
      </c>
    </row>
    <row r="28" spans="1:32" ht="21" customHeight="1" x14ac:dyDescent="0.3">
      <c r="D28" s="34"/>
      <c r="H28" s="33"/>
      <c r="I28" s="29" t="str">
        <f t="shared" si="7"/>
        <v>GP triage</v>
      </c>
      <c r="J28" s="75">
        <f>SUMIF(Projection!$B$42:$B$57,$I28,Projection!BE$42:BH$57)</f>
        <v>0</v>
      </c>
      <c r="K28" s="75">
        <f>SUMIF(Projection!$B$42:$B$57,$I28,Projection!BF$42:BI$57)</f>
        <v>0</v>
      </c>
      <c r="L28" s="75">
        <f>SUMIF(Projection!$B$42:$B$57,$I28,Projection!BG$42:BJ$57)</f>
        <v>0</v>
      </c>
      <c r="M28" s="75">
        <f>SUMIF(Projection!$B$42:$B$57,$I28,Projection!BH$42:BK$57)</f>
        <v>0</v>
      </c>
      <c r="P28" s="29" t="s">
        <v>368</v>
      </c>
      <c r="Q28" s="96" t="s">
        <v>5</v>
      </c>
      <c r="R28" s="96" t="s">
        <v>6</v>
      </c>
      <c r="S28" s="96" t="s">
        <v>7</v>
      </c>
      <c r="T28" s="96" t="s">
        <v>16</v>
      </c>
      <c r="U28" s="96" t="s">
        <v>5</v>
      </c>
      <c r="V28" s="96" t="s">
        <v>6</v>
      </c>
      <c r="W28" s="96" t="s">
        <v>7</v>
      </c>
      <c r="X28" s="96" t="s">
        <v>16</v>
      </c>
      <c r="Y28" s="96" t="s">
        <v>5</v>
      </c>
      <c r="Z28" s="96" t="s">
        <v>6</v>
      </c>
      <c r="AA28" s="96" t="s">
        <v>7</v>
      </c>
      <c r="AB28" s="96" t="s">
        <v>16</v>
      </c>
      <c r="AC28" s="96" t="s">
        <v>5</v>
      </c>
      <c r="AD28" s="96" t="s">
        <v>6</v>
      </c>
      <c r="AE28" s="96" t="s">
        <v>7</v>
      </c>
      <c r="AF28" s="96" t="s">
        <v>16</v>
      </c>
    </row>
    <row r="29" spans="1:32" ht="21" customHeight="1" x14ac:dyDescent="0.3">
      <c r="D29" s="34"/>
      <c r="H29" s="33"/>
      <c r="I29" s="29" t="str">
        <f t="shared" si="7"/>
        <v>GP triage during Covid-19 - first period</v>
      </c>
      <c r="J29" s="75">
        <f>SUMIF(Projection!$B$42:$B$57,$I29,Projection!BE$42:BH$57)</f>
        <v>0</v>
      </c>
      <c r="K29" s="75">
        <f>SUMIF(Projection!$B$42:$B$57,$I29,Projection!BF$42:BI$57)</f>
        <v>0</v>
      </c>
      <c r="L29" s="75">
        <f>SUMIF(Projection!$B$42:$B$57,$I29,Projection!BG$42:BJ$57)</f>
        <v>0</v>
      </c>
      <c r="M29" s="75">
        <f>SUMIF(Projection!$B$42:$B$57,$I29,Projection!BH$42:BK$57)</f>
        <v>0</v>
      </c>
      <c r="P29" s="29" t="str">
        <f>P6</f>
        <v>Covid-19 Disruption - first period</v>
      </c>
      <c r="Q29" s="75">
        <f>Q6*Q$21</f>
        <v>0</v>
      </c>
      <c r="R29" s="75">
        <f>R6*R$21</f>
        <v>0</v>
      </c>
      <c r="S29" s="75">
        <f>S6*S$21</f>
        <v>0</v>
      </c>
      <c r="T29" s="75">
        <f>T6*T$21</f>
        <v>0</v>
      </c>
      <c r="U29" s="75">
        <f>U6*U$21</f>
        <v>0</v>
      </c>
      <c r="V29" s="75">
        <f>V6*V$21</f>
        <v>0</v>
      </c>
      <c r="W29" s="75">
        <f>W6*W$21</f>
        <v>0</v>
      </c>
      <c r="X29" s="75">
        <f>X6*X$21</f>
        <v>0</v>
      </c>
      <c r="Y29" s="75">
        <f>Y6*Y$21</f>
        <v>0</v>
      </c>
      <c r="Z29" s="75">
        <f>Z6*Z$21</f>
        <v>0</v>
      </c>
      <c r="AA29" s="75">
        <f>AA6*AA$21</f>
        <v>0</v>
      </c>
      <c r="AB29" s="75">
        <f>AB6*AB$21</f>
        <v>0</v>
      </c>
      <c r="AC29" s="75">
        <f>AC6*AC$21</f>
        <v>0</v>
      </c>
      <c r="AD29" s="75">
        <f>AD6*AD$21</f>
        <v>0</v>
      </c>
      <c r="AE29" s="75">
        <f>AE6*AE$21</f>
        <v>0</v>
      </c>
      <c r="AF29" s="75">
        <f>AF6*AF$21</f>
        <v>0</v>
      </c>
    </row>
    <row r="30" spans="1:32" ht="21" customHeight="1" x14ac:dyDescent="0.3">
      <c r="D30" s="34"/>
      <c r="H30" s="33"/>
      <c r="I30" s="29" t="str">
        <f t="shared" si="7"/>
        <v>Virtual consults</v>
      </c>
      <c r="J30" s="75">
        <f>SUMIF(Projection!$B$42:$B$57,$I30,Projection!BE$42:BH$57)</f>
        <v>0</v>
      </c>
      <c r="K30" s="75">
        <f>SUMIF(Projection!$B$42:$B$57,$I30,Projection!BF$42:BI$57)</f>
        <v>770.94977168949777</v>
      </c>
      <c r="L30" s="75">
        <f>SUMIF(Projection!$B$42:$B$57,$I30,Projection!BG$42:BJ$57)</f>
        <v>2190.9497716894975</v>
      </c>
      <c r="M30" s="75">
        <f>SUMIF(Projection!$B$42:$B$57,$I30,Projection!BH$42:BK$57)</f>
        <v>3610.9497716894975</v>
      </c>
      <c r="P30" s="29" t="str">
        <f>P7</f>
        <v>Covid-19 Disruption - second period</v>
      </c>
      <c r="Q30" s="75">
        <f>Q7*Q$21</f>
        <v>0</v>
      </c>
      <c r="R30" s="75">
        <f>R7*R$21</f>
        <v>0</v>
      </c>
      <c r="S30" s="75">
        <f>S7*S$21</f>
        <v>0</v>
      </c>
      <c r="T30" s="75">
        <f>T7*T$21</f>
        <v>0</v>
      </c>
      <c r="U30" s="75">
        <f>U7*U$21</f>
        <v>0</v>
      </c>
      <c r="V30" s="75">
        <f>V7*V$21</f>
        <v>0</v>
      </c>
      <c r="W30" s="75">
        <f>W7*W$21</f>
        <v>0</v>
      </c>
      <c r="X30" s="75">
        <f>X7*X$21</f>
        <v>0</v>
      </c>
      <c r="Y30" s="75">
        <f>Y7*Y$21</f>
        <v>0</v>
      </c>
      <c r="Z30" s="75">
        <f>Z7*Z$21</f>
        <v>0</v>
      </c>
      <c r="AA30" s="75">
        <f>AA7*AA$21</f>
        <v>0</v>
      </c>
      <c r="AB30" s="75">
        <f>AB7*AB$21</f>
        <v>0</v>
      </c>
      <c r="AC30" s="75">
        <f>AC7*AC$21</f>
        <v>0</v>
      </c>
      <c r="AD30" s="75">
        <f>AD7*AD$21</f>
        <v>0</v>
      </c>
      <c r="AE30" s="75">
        <f>AE7*AE$21</f>
        <v>0</v>
      </c>
      <c r="AF30" s="75">
        <f>AF7*AF$21</f>
        <v>0</v>
      </c>
    </row>
    <row r="31" spans="1:32" ht="21" customHeight="1" x14ac:dyDescent="0.3">
      <c r="D31" s="34"/>
      <c r="H31" s="33"/>
      <c r="I31" s="29" t="str">
        <f t="shared" si="7"/>
        <v>Virtual consults during Covid-19</v>
      </c>
      <c r="J31" s="75">
        <f>SUMIF(Projection!$B$42:$B$57,$I31,Projection!BE$42:BH$57)</f>
        <v>0</v>
      </c>
      <c r="K31" s="75">
        <f>SUMIF(Projection!$B$42:$B$57,$I31,Projection!BF$42:BI$57)</f>
        <v>0</v>
      </c>
      <c r="L31" s="75">
        <f>SUMIF(Projection!$B$42:$B$57,$I31,Projection!BG$42:BJ$57)</f>
        <v>0</v>
      </c>
      <c r="M31" s="75">
        <f>SUMIF(Projection!$B$42:$B$57,$I31,Projection!BH$42:BK$57)</f>
        <v>0</v>
      </c>
      <c r="P31" s="29" t="str">
        <f>P8</f>
        <v>Call Management</v>
      </c>
      <c r="Q31" s="75">
        <f>Q8*Q$21</f>
        <v>0</v>
      </c>
      <c r="R31" s="75">
        <f>R8*R$21</f>
        <v>0</v>
      </c>
      <c r="S31" s="75">
        <f>S8*S$21</f>
        <v>0</v>
      </c>
      <c r="T31" s="75">
        <f>T8*T$21</f>
        <v>0</v>
      </c>
      <c r="U31" s="75">
        <f>U8*U$21</f>
        <v>0</v>
      </c>
      <c r="V31" s="75">
        <f>V8*V$21</f>
        <v>0</v>
      </c>
      <c r="W31" s="75">
        <f>W8*W$21</f>
        <v>0</v>
      </c>
      <c r="X31" s="75">
        <f>X8*X$21</f>
        <v>41538.461538461539</v>
      </c>
      <c r="Y31" s="75">
        <f>Y8*Y$21</f>
        <v>0</v>
      </c>
      <c r="Z31" s="75">
        <f>Z8*Z$21</f>
        <v>0</v>
      </c>
      <c r="AA31" s="75">
        <f>AA8*AA$21</f>
        <v>0</v>
      </c>
      <c r="AB31" s="75">
        <f>AB8*AB$21</f>
        <v>41538.461538461539</v>
      </c>
      <c r="AC31" s="75">
        <f>AC8*AC$21</f>
        <v>0</v>
      </c>
      <c r="AD31" s="75">
        <f>AD8*AD$21</f>
        <v>0</v>
      </c>
      <c r="AE31" s="75">
        <f>AE8*AE$21</f>
        <v>0</v>
      </c>
      <c r="AF31" s="75">
        <f>AF8*AF$21</f>
        <v>41538.461538461539</v>
      </c>
    </row>
    <row r="32" spans="1:32" ht="21" customHeight="1" x14ac:dyDescent="0.3">
      <c r="D32" s="34"/>
      <c r="H32" s="33"/>
      <c r="I32" s="29" t="str">
        <f t="shared" si="7"/>
        <v>YOC</v>
      </c>
      <c r="J32" s="75">
        <f>SUMIF(Projection!$B$42:$B$57,$I32,Projection!BE$42:BH$57)</f>
        <v>0</v>
      </c>
      <c r="K32" s="75">
        <f>SUMIF(Projection!$B$42:$B$57,$I32,Projection!BF$42:BI$57)</f>
        <v>0</v>
      </c>
      <c r="L32" s="75">
        <f>SUMIF(Projection!$B$42:$B$57,$I32,Projection!BG$42:BJ$57)</f>
        <v>0</v>
      </c>
      <c r="M32" s="75">
        <f>SUMIF(Projection!$B$42:$B$57,$I32,Projection!BH$42:BK$57)</f>
        <v>0</v>
      </c>
      <c r="P32" s="29" t="str">
        <f>P9</f>
        <v>GP triage</v>
      </c>
      <c r="Q32" s="75">
        <f>Q9*Q$21</f>
        <v>0</v>
      </c>
      <c r="R32" s="75">
        <f>R9*R$21</f>
        <v>0</v>
      </c>
      <c r="S32" s="75">
        <f>S9*S$21</f>
        <v>0</v>
      </c>
      <c r="T32" s="75">
        <f>T9*T$21</f>
        <v>0</v>
      </c>
      <c r="U32" s="75">
        <f>U9*U$21</f>
        <v>-67864.182692307688</v>
      </c>
      <c r="V32" s="75">
        <f>V9*V$21</f>
        <v>3609.375</v>
      </c>
      <c r="W32" s="75">
        <f>W9*W$21</f>
        <v>0</v>
      </c>
      <c r="X32" s="75">
        <f>X9*X$21</f>
        <v>0</v>
      </c>
      <c r="Y32" s="75">
        <f>Y9*Y$21</f>
        <v>-74033.653846153844</v>
      </c>
      <c r="Z32" s="75">
        <f>Z9*Z$21</f>
        <v>3937.5</v>
      </c>
      <c r="AA32" s="75">
        <f>AA9*AA$21</f>
        <v>0</v>
      </c>
      <c r="AB32" s="75">
        <f>AB9*AB$21</f>
        <v>0</v>
      </c>
      <c r="AC32" s="75">
        <f>AC9*AC$21</f>
        <v>-74033.653846153844</v>
      </c>
      <c r="AD32" s="75">
        <f>AD9*AD$21</f>
        <v>3937.5</v>
      </c>
      <c r="AE32" s="75">
        <f>AE9*AE$21</f>
        <v>0</v>
      </c>
      <c r="AF32" s="75">
        <f>AF9*AF$21</f>
        <v>0</v>
      </c>
    </row>
    <row r="33" spans="4:32" ht="21" customHeight="1" x14ac:dyDescent="0.3">
      <c r="D33" s="34"/>
      <c r="H33" s="33"/>
      <c r="I33" s="29" t="str">
        <f t="shared" si="7"/>
        <v>Extended hours</v>
      </c>
      <c r="J33" s="75">
        <f>SUMIF(Projection!$B$42:$B$57,$I33,Projection!BE$42:BH$57)</f>
        <v>0</v>
      </c>
      <c r="K33" s="75">
        <f>SUMIF(Projection!$B$42:$B$57,$I33,Projection!BF$42:BI$57)</f>
        <v>1201.9230769230767</v>
      </c>
      <c r="L33" s="75">
        <f>SUMIF(Projection!$B$42:$B$57,$I33,Projection!BG$42:BJ$57)</f>
        <v>1201.9230769230767</v>
      </c>
      <c r="M33" s="75">
        <f>SUMIF(Projection!$B$42:$B$57,$I33,Projection!BH$42:BK$57)</f>
        <v>1201.9230769230767</v>
      </c>
      <c r="P33" s="29" t="str">
        <f>P10</f>
        <v>GP triage during Covid-19 - first period</v>
      </c>
      <c r="Q33" s="75">
        <f>Q10*Q$21</f>
        <v>0</v>
      </c>
      <c r="R33" s="75">
        <f>R10*R$21</f>
        <v>0</v>
      </c>
      <c r="S33" s="75">
        <f>S10*S$21</f>
        <v>0</v>
      </c>
      <c r="T33" s="75">
        <f>T10*T$21</f>
        <v>0</v>
      </c>
      <c r="U33" s="75">
        <f>U10*U$21</f>
        <v>0</v>
      </c>
      <c r="V33" s="75">
        <f>V10*V$21</f>
        <v>0</v>
      </c>
      <c r="W33" s="75">
        <f>W10*W$21</f>
        <v>0</v>
      </c>
      <c r="X33" s="75">
        <f>X10*X$21</f>
        <v>0</v>
      </c>
      <c r="Y33" s="75">
        <f>Y10*Y$21</f>
        <v>0</v>
      </c>
      <c r="Z33" s="75">
        <f>Z10*Z$21</f>
        <v>0</v>
      </c>
      <c r="AA33" s="75">
        <f>AA10*AA$21</f>
        <v>0</v>
      </c>
      <c r="AB33" s="75">
        <f>AB10*AB$21</f>
        <v>0</v>
      </c>
      <c r="AC33" s="75">
        <f>AC10*AC$21</f>
        <v>0</v>
      </c>
      <c r="AD33" s="75">
        <f>AD10*AD$21</f>
        <v>0</v>
      </c>
      <c r="AE33" s="75">
        <f>AE10*AE$21</f>
        <v>0</v>
      </c>
      <c r="AF33" s="75">
        <f>AF10*AF$21</f>
        <v>0</v>
      </c>
    </row>
    <row r="34" spans="4:32" ht="21" customHeight="1" x14ac:dyDescent="0.3">
      <c r="D34" s="34"/>
      <c r="H34" s="33"/>
      <c r="I34" s="29" t="str">
        <f t="shared" si="7"/>
        <v>Multi-discliplinary Team Meetings</v>
      </c>
      <c r="J34" s="75">
        <f>SUMIF(Projection!$B$42:$B$57,$I34,Projection!BE$42:BH$57)</f>
        <v>0</v>
      </c>
      <c r="K34" s="75">
        <f>SUMIF(Projection!$B$42:$B$57,$I34,Projection!BF$42:BI$57)</f>
        <v>1200</v>
      </c>
      <c r="L34" s="75">
        <f>SUMIF(Projection!$B$42:$B$57,$I34,Projection!BG$42:BJ$57)</f>
        <v>1200</v>
      </c>
      <c r="M34" s="75">
        <f>SUMIF(Projection!$B$42:$B$57,$I34,Projection!BH$42:BK$57)</f>
        <v>1200</v>
      </c>
      <c r="P34" s="29" t="str">
        <f>P11</f>
        <v>Virtual consults</v>
      </c>
      <c r="Q34" s="75">
        <f>Q11*Q$21</f>
        <v>0</v>
      </c>
      <c r="R34" s="75">
        <f>R11*R$21</f>
        <v>0</v>
      </c>
      <c r="S34" s="75">
        <f>S11*S$21</f>
        <v>0</v>
      </c>
      <c r="T34" s="75">
        <f>T11*T$21</f>
        <v>0</v>
      </c>
      <c r="U34" s="75">
        <f>U11*U$21</f>
        <v>-2114.2650158061119</v>
      </c>
      <c r="V34" s="75">
        <f>V11*V$21</f>
        <v>-435.03395386957033</v>
      </c>
      <c r="W34" s="75">
        <f>W11*W$21</f>
        <v>0</v>
      </c>
      <c r="X34" s="75">
        <f>X11*X$21</f>
        <v>0</v>
      </c>
      <c r="Y34" s="75">
        <f>Y11*Y$21</f>
        <v>-6008.4957850368819</v>
      </c>
      <c r="Z34" s="75">
        <f>Z11*Z$21</f>
        <v>-1236.3160051516215</v>
      </c>
      <c r="AA34" s="75">
        <f>AA11*AA$21</f>
        <v>0</v>
      </c>
      <c r="AB34" s="75">
        <f>AB11*AB$21</f>
        <v>0</v>
      </c>
      <c r="AC34" s="75">
        <f>AC11*AC$21</f>
        <v>-9902.7265542676523</v>
      </c>
      <c r="AD34" s="75">
        <f>AD11*AD$21</f>
        <v>-2037.5980564336728</v>
      </c>
      <c r="AE34" s="75">
        <f>AE11*AE$21</f>
        <v>0</v>
      </c>
      <c r="AF34" s="75">
        <f>AF11*AF$21</f>
        <v>0</v>
      </c>
    </row>
    <row r="35" spans="4:32" ht="21" customHeight="1" x14ac:dyDescent="0.3">
      <c r="D35" s="34"/>
      <c r="H35" s="33"/>
      <c r="I35" s="29" t="str">
        <f t="shared" si="7"/>
        <v>Huddles</v>
      </c>
      <c r="J35" s="75">
        <f>SUMIF(Projection!$B$42:$B$57,$I35,Projection!BE$42:BH$57)</f>
        <v>0</v>
      </c>
      <c r="K35" s="75">
        <f>SUMIF(Projection!$B$42:$B$57,$I35,Projection!BF$42:BI$57)</f>
        <v>1050</v>
      </c>
      <c r="L35" s="75">
        <f>SUMIF(Projection!$B$42:$B$57,$I35,Projection!BG$42:BJ$57)</f>
        <v>49.999999999999993</v>
      </c>
      <c r="M35" s="75">
        <f>SUMIF(Projection!$B$42:$B$57,$I35,Projection!BH$42:BK$57)</f>
        <v>49.999999999999993</v>
      </c>
      <c r="P35" s="29" t="str">
        <f>P12</f>
        <v>Virtual consults during Covid-19</v>
      </c>
      <c r="Q35" s="75">
        <f>Q12*Q$21</f>
        <v>0</v>
      </c>
      <c r="R35" s="75">
        <f>R12*R$21</f>
        <v>0</v>
      </c>
      <c r="S35" s="75">
        <f>S12*S$21</f>
        <v>0</v>
      </c>
      <c r="T35" s="75">
        <f>T12*T$21</f>
        <v>0</v>
      </c>
      <c r="U35" s="75">
        <f>U12*U$21</f>
        <v>0</v>
      </c>
      <c r="V35" s="75">
        <f>V12*V$21</f>
        <v>0</v>
      </c>
      <c r="W35" s="75">
        <f>W12*W$21</f>
        <v>0</v>
      </c>
      <c r="X35" s="75">
        <f>X12*X$21</f>
        <v>0</v>
      </c>
      <c r="Y35" s="75">
        <f>Y12*Y$21</f>
        <v>0</v>
      </c>
      <c r="Z35" s="75">
        <f>Z12*Z$21</f>
        <v>0</v>
      </c>
      <c r="AA35" s="75">
        <f>AA12*AA$21</f>
        <v>0</v>
      </c>
      <c r="AB35" s="75">
        <f>AB12*AB$21</f>
        <v>0</v>
      </c>
      <c r="AC35" s="75">
        <f>AC12*AC$21</f>
        <v>0</v>
      </c>
      <c r="AD35" s="75">
        <f>AD12*AD$21</f>
        <v>0</v>
      </c>
      <c r="AE35" s="75">
        <f>AE12*AE$21</f>
        <v>0</v>
      </c>
      <c r="AF35" s="75">
        <f>AF12*AF$21</f>
        <v>0</v>
      </c>
    </row>
    <row r="36" spans="4:32" ht="21" customHeight="1" x14ac:dyDescent="0.3">
      <c r="D36" s="34"/>
      <c r="H36" s="33"/>
      <c r="I36" s="29" t="str">
        <f t="shared" si="7"/>
        <v>Health Care Assistants</v>
      </c>
      <c r="J36" s="75">
        <f>SUMIF(Projection!$B$42:$B$57,$I36,Projection!BE$42:BH$57)</f>
        <v>0</v>
      </c>
      <c r="K36" s="75">
        <f>SUMIF(Projection!$B$42:$B$57,$I36,Projection!BF$42:BI$57)</f>
        <v>0</v>
      </c>
      <c r="L36" s="75">
        <f>SUMIF(Projection!$B$42:$B$57,$I36,Projection!BG$42:BJ$57)</f>
        <v>0</v>
      </c>
      <c r="M36" s="75">
        <f>SUMIF(Projection!$B$42:$B$57,$I36,Projection!BH$42:BK$57)</f>
        <v>0</v>
      </c>
      <c r="P36" s="29" t="str">
        <f>P13</f>
        <v>YOC</v>
      </c>
      <c r="Q36" s="75">
        <f>Q13*Q$21</f>
        <v>0</v>
      </c>
      <c r="R36" s="75">
        <f>R13*R$21</f>
        <v>0</v>
      </c>
      <c r="S36" s="75">
        <f>S13*S$21</f>
        <v>0</v>
      </c>
      <c r="T36" s="75">
        <f>T13*T$21</f>
        <v>0</v>
      </c>
      <c r="U36" s="75">
        <f>U13*U$21</f>
        <v>-17618.875131717596</v>
      </c>
      <c r="V36" s="75">
        <f>V13*V$21</f>
        <v>28059.690024587286</v>
      </c>
      <c r="W36" s="75">
        <f>W13*W$21</f>
        <v>0</v>
      </c>
      <c r="X36" s="75">
        <f>X13*X$21</f>
        <v>0</v>
      </c>
      <c r="Y36" s="75">
        <f>Y13*Y$21</f>
        <v>-32451.923076923078</v>
      </c>
      <c r="Z36" s="75">
        <f>Z13*Z$21</f>
        <v>51682.692307692305</v>
      </c>
      <c r="AA36" s="75">
        <f>AA13*AA$21</f>
        <v>0</v>
      </c>
      <c r="AB36" s="75">
        <f>AB13*AB$21</f>
        <v>0</v>
      </c>
      <c r="AC36" s="75">
        <f>AC13*AC$21</f>
        <v>-32451.923076923078</v>
      </c>
      <c r="AD36" s="75">
        <f>AD13*AD$21</f>
        <v>51682.692307692305</v>
      </c>
      <c r="AE36" s="75">
        <f>AE13*AE$21</f>
        <v>0</v>
      </c>
      <c r="AF36" s="75">
        <f>AF13*AF$21</f>
        <v>0</v>
      </c>
    </row>
    <row r="37" spans="4:32" ht="21" customHeight="1" x14ac:dyDescent="0.3">
      <c r="D37" s="34"/>
      <c r="H37" s="33"/>
      <c r="I37" s="29" t="str">
        <f t="shared" si="7"/>
        <v>Patient portals</v>
      </c>
      <c r="J37" s="75">
        <f>SUMIF(Projection!$B$42:$B$57,$I37,Projection!BE$42:BH$57)</f>
        <v>0</v>
      </c>
      <c r="K37" s="75">
        <f>SUMIF(Projection!$B$42:$B$57,$I37,Projection!BF$42:BI$57)</f>
        <v>0</v>
      </c>
      <c r="L37" s="75">
        <f>SUMIF(Projection!$B$42:$B$57,$I37,Projection!BG$42:BJ$57)</f>
        <v>0</v>
      </c>
      <c r="M37" s="75">
        <f>SUMIF(Projection!$B$42:$B$57,$I37,Projection!BH$42:BK$57)</f>
        <v>0</v>
      </c>
      <c r="P37" s="29" t="str">
        <f>P14</f>
        <v>Extended hours</v>
      </c>
      <c r="Q37" s="75">
        <f>Q14*Q$21</f>
        <v>0</v>
      </c>
      <c r="R37" s="75">
        <f>R14*R$21</f>
        <v>0</v>
      </c>
      <c r="S37" s="75">
        <f>S14*S$21</f>
        <v>0</v>
      </c>
      <c r="T37" s="75">
        <f>T14*T$21</f>
        <v>0</v>
      </c>
      <c r="U37" s="75">
        <f>U14*U$21</f>
        <v>0</v>
      </c>
      <c r="V37" s="75">
        <f>V14*V$21</f>
        <v>0</v>
      </c>
      <c r="W37" s="75">
        <f>W14*W$21</f>
        <v>0</v>
      </c>
      <c r="X37" s="75">
        <f>X14*X$21</f>
        <v>0</v>
      </c>
      <c r="Y37" s="75">
        <f>Y14*Y$21</f>
        <v>0</v>
      </c>
      <c r="Z37" s="75">
        <f>Z14*Z$21</f>
        <v>0</v>
      </c>
      <c r="AA37" s="75">
        <f>AA14*AA$21</f>
        <v>0</v>
      </c>
      <c r="AB37" s="75">
        <f>AB14*AB$21</f>
        <v>0</v>
      </c>
      <c r="AC37" s="75">
        <f>AC14*AC$21</f>
        <v>0</v>
      </c>
      <c r="AD37" s="75">
        <f>AD14*AD$21</f>
        <v>0</v>
      </c>
      <c r="AE37" s="75">
        <f>AE14*AE$21</f>
        <v>0</v>
      </c>
      <c r="AF37" s="75">
        <f>AF14*AF$21</f>
        <v>0</v>
      </c>
    </row>
    <row r="38" spans="4:32" ht="21" customHeight="1" x14ac:dyDescent="0.3">
      <c r="D38" s="34"/>
      <c r="H38" s="33"/>
      <c r="I38" s="29" t="str">
        <f t="shared" si="7"/>
        <v>Other (staff release for training and implementation activity)</v>
      </c>
      <c r="J38" s="75">
        <f>SUMIF(Projection!$B$42:$B$57,$I38,Projection!BE$42:BH$57)</f>
        <v>0</v>
      </c>
      <c r="K38" s="75">
        <f>SUMIF(Projection!$B$42:$B$57,$I38,Projection!BF$42:BI$57)</f>
        <v>0</v>
      </c>
      <c r="L38" s="75">
        <f>SUMIF(Projection!$B$42:$B$57,$I38,Projection!BG$42:BJ$57)</f>
        <v>0</v>
      </c>
      <c r="M38" s="75">
        <f>SUMIF(Projection!$B$42:$B$57,$I38,Projection!BH$42:BK$57)</f>
        <v>0</v>
      </c>
      <c r="P38" s="29" t="str">
        <f>P15</f>
        <v>Multi-discliplinary Team Meetings</v>
      </c>
      <c r="Q38" s="75">
        <f>Q15*Q$21</f>
        <v>0</v>
      </c>
      <c r="R38" s="75">
        <f>R15*R$21</f>
        <v>0</v>
      </c>
      <c r="S38" s="75">
        <f>S15*S$21</f>
        <v>0</v>
      </c>
      <c r="T38" s="75">
        <f>T15*T$21</f>
        <v>0</v>
      </c>
      <c r="U38" s="75">
        <f>U15*U$21</f>
        <v>821.87894073139978</v>
      </c>
      <c r="V38" s="75">
        <f>V15*V$21</f>
        <v>273.95964691046657</v>
      </c>
      <c r="W38" s="75">
        <f>W15*W$21</f>
        <v>0</v>
      </c>
      <c r="X38" s="75">
        <f>X15*X$21</f>
        <v>0</v>
      </c>
      <c r="Y38" s="75">
        <f>Y15*Y$21</f>
        <v>1038.4615384615383</v>
      </c>
      <c r="Z38" s="75">
        <f>Z15*Z$21</f>
        <v>346.15384615384619</v>
      </c>
      <c r="AA38" s="75">
        <f>AA15*AA$21</f>
        <v>0</v>
      </c>
      <c r="AB38" s="75">
        <f>AB15*AB$21</f>
        <v>0</v>
      </c>
      <c r="AC38" s="75">
        <f>AC15*AC$21</f>
        <v>1038.4615384615383</v>
      </c>
      <c r="AD38" s="75">
        <f>AD15*AD$21</f>
        <v>346.15384615384619</v>
      </c>
      <c r="AE38" s="75">
        <f>AE15*AE$21</f>
        <v>0</v>
      </c>
      <c r="AF38" s="75">
        <f>AF15*AF$21</f>
        <v>0</v>
      </c>
    </row>
    <row r="39" spans="4:32" ht="21" customHeight="1" x14ac:dyDescent="0.3">
      <c r="D39" s="34"/>
      <c r="H39" s="33"/>
      <c r="J39" s="75">
        <f>SUM(J25:J38)</f>
        <v>0</v>
      </c>
      <c r="K39" s="75">
        <f>SUM(K25:K38)</f>
        <v>6222.8728486125747</v>
      </c>
      <c r="L39" s="75">
        <f>SUM(L25:L38)</f>
        <v>4642.8728486125747</v>
      </c>
      <c r="M39" s="75">
        <f>SUM(M25:M38)</f>
        <v>6062.8728486125747</v>
      </c>
      <c r="P39" s="29" t="str">
        <f>P16</f>
        <v>Huddles</v>
      </c>
      <c r="Q39" s="75">
        <f>Q16*Q$21</f>
        <v>0</v>
      </c>
      <c r="R39" s="75">
        <f>R16*R$21</f>
        <v>0</v>
      </c>
      <c r="S39" s="75">
        <f>S16*S$21</f>
        <v>0</v>
      </c>
      <c r="T39" s="75">
        <f>T16*T$21</f>
        <v>0</v>
      </c>
      <c r="U39" s="75">
        <f>U16*U$21</f>
        <v>31950</v>
      </c>
      <c r="V39" s="75">
        <f>V16*V$21</f>
        <v>9300.0000000000018</v>
      </c>
      <c r="W39" s="75">
        <f>W16*W$21</f>
        <v>3432.0000000000005</v>
      </c>
      <c r="X39" s="75">
        <f>X16*X$21</f>
        <v>1406.25</v>
      </c>
      <c r="Y39" s="75">
        <f>Y16*Y$21</f>
        <v>31950</v>
      </c>
      <c r="Z39" s="75">
        <f>Z16*Z$21</f>
        <v>9300.0000000000018</v>
      </c>
      <c r="AA39" s="75">
        <f>AA16*AA$21</f>
        <v>3432.0000000000005</v>
      </c>
      <c r="AB39" s="75">
        <f>AB16*AB$21</f>
        <v>1406.25</v>
      </c>
      <c r="AC39" s="75">
        <f>AC16*AC$21</f>
        <v>31950</v>
      </c>
      <c r="AD39" s="75">
        <f>AD16*AD$21</f>
        <v>9300.0000000000018</v>
      </c>
      <c r="AE39" s="75">
        <f>AE16*AE$21</f>
        <v>3432.0000000000005</v>
      </c>
      <c r="AF39" s="75">
        <f>AF16*AF$21</f>
        <v>1406.25</v>
      </c>
    </row>
    <row r="40" spans="4:32" ht="21" customHeight="1" x14ac:dyDescent="0.3">
      <c r="D40" s="34"/>
      <c r="H40" s="33"/>
      <c r="P40" s="29" t="str">
        <f>P17</f>
        <v>Health Care Assistants</v>
      </c>
      <c r="Q40" s="75">
        <f>Q17*Q$21</f>
        <v>0</v>
      </c>
      <c r="R40" s="75">
        <f>R17*R$21</f>
        <v>0</v>
      </c>
      <c r="S40" s="75">
        <f>S17*S$21</f>
        <v>0</v>
      </c>
      <c r="T40" s="75">
        <f>T17*T$21</f>
        <v>0</v>
      </c>
      <c r="U40" s="75">
        <f>U17*U$21</f>
        <v>0</v>
      </c>
      <c r="V40" s="75">
        <f>V17*V$21</f>
        <v>-35066.834804539722</v>
      </c>
      <c r="W40" s="75">
        <f>W17*W$21</f>
        <v>33430.382513661199</v>
      </c>
      <c r="X40" s="75">
        <f>X17*X$21</f>
        <v>0</v>
      </c>
      <c r="Y40" s="75">
        <f>Y17*Y$21</f>
        <v>0</v>
      </c>
      <c r="Z40" s="75">
        <f>Z17*Z$21</f>
        <v>-44307.692307692312</v>
      </c>
      <c r="AA40" s="75">
        <f>AA17*AA$21</f>
        <v>42239.999999999993</v>
      </c>
      <c r="AB40" s="75">
        <f>AB17*AB$21</f>
        <v>0</v>
      </c>
      <c r="AC40" s="75">
        <f>AC17*AC$21</f>
        <v>0</v>
      </c>
      <c r="AD40" s="75">
        <f>AD17*AD$21</f>
        <v>-44307.692307692312</v>
      </c>
      <c r="AE40" s="75">
        <f>AE17*AE$21</f>
        <v>42239.999999999993</v>
      </c>
      <c r="AF40" s="75">
        <f>AF17*AF$21</f>
        <v>0</v>
      </c>
    </row>
    <row r="41" spans="4:32" ht="21" customHeight="1" x14ac:dyDescent="0.3">
      <c r="H41" s="33"/>
      <c r="I41" s="29" t="s">
        <v>371</v>
      </c>
      <c r="J41" s="90">
        <v>1</v>
      </c>
      <c r="K41" s="22">
        <v>2</v>
      </c>
      <c r="L41" s="90">
        <v>3</v>
      </c>
      <c r="M41" s="90">
        <v>4</v>
      </c>
      <c r="P41" s="29" t="str">
        <f>P18</f>
        <v>Patient portals</v>
      </c>
      <c r="Q41" s="75">
        <f>Q18*Q$21</f>
        <v>0</v>
      </c>
      <c r="R41" s="75">
        <f>R18*R$21</f>
        <v>0</v>
      </c>
      <c r="S41" s="75">
        <f>S18*S$21</f>
        <v>0</v>
      </c>
      <c r="T41" s="75">
        <f>T18*T$21</f>
        <v>0</v>
      </c>
      <c r="U41" s="75">
        <f>U18*U$21</f>
        <v>6718.664383561646</v>
      </c>
      <c r="V41" s="75">
        <f>V18*V$21</f>
        <v>-1311.1575342465758</v>
      </c>
      <c r="W41" s="75">
        <f>W18*W$21</f>
        <v>0</v>
      </c>
      <c r="X41" s="75">
        <f>X18*X$21</f>
        <v>-10175.722602739725</v>
      </c>
      <c r="Y41" s="75">
        <f>Y18*Y$21</f>
        <v>19093.664383561649</v>
      </c>
      <c r="Z41" s="75">
        <f>Z18*Z$21</f>
        <v>-3726.1575342465762</v>
      </c>
      <c r="AA41" s="75">
        <f>AA18*AA$21</f>
        <v>0</v>
      </c>
      <c r="AB41" s="75">
        <f>AB18*AB$21</f>
        <v>-28918.222602739726</v>
      </c>
      <c r="AC41" s="75">
        <f>AC18*AC$21</f>
        <v>31468.664383561649</v>
      </c>
      <c r="AD41" s="75">
        <f>AD18*AD$21</f>
        <v>-6141.1575342465767</v>
      </c>
      <c r="AE41" s="75">
        <f>AE18*AE$21</f>
        <v>0</v>
      </c>
      <c r="AF41" s="75">
        <f>AF18*AF$21</f>
        <v>-47660.722602739712</v>
      </c>
    </row>
    <row r="42" spans="4:32" ht="21" customHeight="1" x14ac:dyDescent="0.3">
      <c r="H42" s="33"/>
      <c r="I42" s="29" t="s">
        <v>5</v>
      </c>
      <c r="J42" s="98">
        <f>HLOOKUP($I42,$Q$5:$T$20,16,0)/(60*'Master Data'!$C$15)</f>
        <v>0</v>
      </c>
      <c r="K42" s="98">
        <f>HLOOKUP($I42,$U$5:$X$20,16,0)/(60*'Master Data'!$C$15)</f>
        <v>-0.26043296312051228</v>
      </c>
      <c r="L42" s="98">
        <f>HLOOKUP($I42,$Y$5:$AB$20,16,0)/(60*'Master Data'!$C$15)</f>
        <v>-0.32879500351246926</v>
      </c>
      <c r="M42" s="98">
        <f>HLOOKUP($I42,$AC$5:$AF$20,16,0)/(60*'Master Data'!$C$15)</f>
        <v>-0.28167961889708465</v>
      </c>
      <c r="P42" s="29" t="str">
        <f>P19</f>
        <v>Other (staff release for training and implementation activity)</v>
      </c>
      <c r="Q42" s="75">
        <f>Q19*Q$21</f>
        <v>0</v>
      </c>
      <c r="R42" s="75">
        <f>R19*R$21</f>
        <v>0</v>
      </c>
      <c r="S42" s="75">
        <f>S19*S$21</f>
        <v>0</v>
      </c>
      <c r="T42" s="75">
        <f>T19*T$21</f>
        <v>0</v>
      </c>
      <c r="U42" s="75">
        <f>U19*U$21</f>
        <v>1228.8461538461538</v>
      </c>
      <c r="V42" s="75">
        <f>V19*V$21</f>
        <v>357.69230769230768</v>
      </c>
      <c r="W42" s="75">
        <f>W19*W$21</f>
        <v>0</v>
      </c>
      <c r="X42" s="75">
        <f>X19*X$21</f>
        <v>0</v>
      </c>
      <c r="Y42" s="75">
        <f>Y19*Y$21</f>
        <v>1228.8461538461538</v>
      </c>
      <c r="Z42" s="75">
        <f>Z19*Z$21</f>
        <v>357.69230769230768</v>
      </c>
      <c r="AA42" s="75">
        <f>AA19*AA$21</f>
        <v>0</v>
      </c>
      <c r="AB42" s="75">
        <f>AB19*AB$21</f>
        <v>0</v>
      </c>
      <c r="AC42" s="75">
        <f>AC19*AC$21</f>
        <v>1228.8461538461538</v>
      </c>
      <c r="AD42" s="75">
        <f>AD19*AD$21</f>
        <v>357.69230769230768</v>
      </c>
      <c r="AE42" s="75">
        <f>AE19*AE$21</f>
        <v>0</v>
      </c>
      <c r="AF42" s="75">
        <f>AF19*AF$21</f>
        <v>0</v>
      </c>
    </row>
    <row r="43" spans="4:32" ht="21" customHeight="1" x14ac:dyDescent="0.3">
      <c r="H43" s="33"/>
      <c r="I43" s="29" t="s">
        <v>6</v>
      </c>
      <c r="J43" s="98">
        <f>HLOOKUP($I43,$Q$5:$T$20,16,0)/(60*'Master Data'!$C$15)</f>
        <v>0</v>
      </c>
      <c r="K43" s="98">
        <f>HLOOKUP($I43,$U$5:$X$20,16,0)/(60*'Master Data'!$C$15)</f>
        <v>7.9794844775569737E-2</v>
      </c>
      <c r="L43" s="98">
        <f>HLOOKUP($I43,$Y$5:$AB$20,16,0)/(60*'Master Data'!$C$15)</f>
        <v>0.27256454357413251</v>
      </c>
      <c r="M43" s="98">
        <f>HLOOKUP($I43,$AC$5:$AF$20,16,0)/(60*'Master Data'!$C$15)</f>
        <v>0.21895984271943175</v>
      </c>
      <c r="P43" s="28" t="s">
        <v>193</v>
      </c>
      <c r="Q43" s="251">
        <f>SUM(Q29:Q42)</f>
        <v>0</v>
      </c>
      <c r="R43" s="251">
        <f>SUM(R29:R42)</f>
        <v>0</v>
      </c>
      <c r="S43" s="251">
        <f>SUM(S29:S42)</f>
        <v>0</v>
      </c>
      <c r="T43" s="251">
        <f>SUM(T29:T42)</f>
        <v>0</v>
      </c>
      <c r="U43" s="251">
        <f>SUM(U29:U42)</f>
        <v>-46877.933361692187</v>
      </c>
      <c r="V43" s="251">
        <f>SUM(V29:V42)</f>
        <v>4787.6906865341953</v>
      </c>
      <c r="W43" s="251">
        <f>SUM(W29:W42)</f>
        <v>36862.382513661199</v>
      </c>
      <c r="X43" s="251">
        <f>SUM(X29:X42)</f>
        <v>32768.988935721813</v>
      </c>
      <c r="Y43" s="251">
        <f>SUM(Y29:Y42)</f>
        <v>-59183.100632244466</v>
      </c>
      <c r="Z43" s="251">
        <f>SUM(Z29:Z42)</f>
        <v>16353.872614447944</v>
      </c>
      <c r="AA43" s="251">
        <f>SUM(AA29:AA42)</f>
        <v>45671.999999999993</v>
      </c>
      <c r="AB43" s="251">
        <f>SUM(AB29:AB42)</f>
        <v>14026.488935721813</v>
      </c>
      <c r="AC43" s="251">
        <f>SUM(AC29:AC42)</f>
        <v>-50702.331401475232</v>
      </c>
      <c r="AD43" s="251">
        <f>SUM(AD29:AD42)</f>
        <v>13137.590563165897</v>
      </c>
      <c r="AE43" s="251">
        <f>SUM(AE29:AE42)</f>
        <v>45671.999999999993</v>
      </c>
      <c r="AF43" s="251">
        <f>SUM(AF29:AF42)</f>
        <v>-4716.0110642781729</v>
      </c>
    </row>
    <row r="44" spans="4:32" ht="21" customHeight="1" x14ac:dyDescent="0.3">
      <c r="H44" s="33"/>
      <c r="I44" s="29" t="s">
        <v>7</v>
      </c>
      <c r="J44" s="98">
        <f>HLOOKUP($I44,$Q$5:$T$20,16,0)/(60*'Master Data'!$C$15)</f>
        <v>0</v>
      </c>
      <c r="K44" s="98">
        <f>HLOOKUP($I44,$U$5:$X$20,16,0)/(60*'Master Data'!$C$15)</f>
        <v>0.80555905842791076</v>
      </c>
      <c r="L44" s="98">
        <f>HLOOKUP($I44,$Y$5:$AB$20,16,0)/(60*'Master Data'!$C$15)</f>
        <v>0.99807692307692297</v>
      </c>
      <c r="M44" s="98">
        <f>HLOOKUP($I44,$AC$5:$AF$20,16,0)/(60*'Master Data'!$C$15)</f>
        <v>0.99807692307692297</v>
      </c>
    </row>
    <row r="45" spans="4:32" ht="21" customHeight="1" x14ac:dyDescent="0.3">
      <c r="I45" s="29" t="s">
        <v>16</v>
      </c>
      <c r="J45" s="98">
        <f>HLOOKUP($I45,$Q$5:$T$20,16,0)/(60*'Master Data'!$C$15)</f>
        <v>0</v>
      </c>
      <c r="K45" s="98">
        <f>HLOOKUP($I45,$U$5:$X$20,16,0)/(60*'Master Data'!$C$15)</f>
        <v>0.72819975412715132</v>
      </c>
      <c r="L45" s="98">
        <f>HLOOKUP($I45,$Y$5:$AB$20,16,0)/(60*'Master Data'!$C$15)</f>
        <v>0.3116997541271514</v>
      </c>
      <c r="M45" s="98">
        <f>HLOOKUP($I45,$AC$5:$AF$20,16,0)/(60*'Master Data'!$C$15)</f>
        <v>-0.10480024587284835</v>
      </c>
    </row>
    <row r="47" spans="4:32" ht="21" customHeight="1" x14ac:dyDescent="0.3">
      <c r="I47" s="29" t="s">
        <v>369</v>
      </c>
      <c r="J47" s="90">
        <v>1</v>
      </c>
      <c r="K47" s="22">
        <v>2</v>
      </c>
      <c r="L47" s="90">
        <v>3</v>
      </c>
      <c r="M47" s="90">
        <v>4</v>
      </c>
    </row>
    <row r="48" spans="4:32" ht="21" customHeight="1" x14ac:dyDescent="0.3">
      <c r="I48" s="29" t="s">
        <v>5</v>
      </c>
      <c r="J48" s="75">
        <f>J42*60*'Master Data'!$C$15*$Q$21</f>
        <v>0</v>
      </c>
      <c r="K48" s="75">
        <f>K42*60*'Master Data'!$C$15*$Q$21</f>
        <v>-46877.933361692209</v>
      </c>
      <c r="L48" s="75">
        <f>L42*60*'Master Data'!$C$15*$Q$21</f>
        <v>-59183.100632244474</v>
      </c>
      <c r="M48" s="75">
        <f>M42*60*'Master Data'!$C$15*$Q$21</f>
        <v>-50702.331401475247</v>
      </c>
    </row>
    <row r="49" spans="9:13" ht="21" customHeight="1" x14ac:dyDescent="0.3">
      <c r="I49" s="29" t="s">
        <v>6</v>
      </c>
      <c r="J49" s="75">
        <f>J43*60*'Master Data'!$C$15*$R$21</f>
        <v>0</v>
      </c>
      <c r="K49" s="75">
        <f>K43*60*'Master Data'!$C$15*$R$21</f>
        <v>4787.6906865341844</v>
      </c>
      <c r="L49" s="75">
        <f>L43*60*'Master Data'!$C$15*$R$21</f>
        <v>16353.872614447951</v>
      </c>
      <c r="M49" s="75">
        <f>M43*60*'Master Data'!$C$15*$R$21</f>
        <v>13137.590563165904</v>
      </c>
    </row>
    <row r="50" spans="9:13" ht="21" customHeight="1" x14ac:dyDescent="0.3">
      <c r="I50" s="29" t="s">
        <v>7</v>
      </c>
      <c r="J50" s="75">
        <f>J44*60*'Master Data'!$C$15*$S$21</f>
        <v>0</v>
      </c>
      <c r="K50" s="75">
        <f>K44*60*'Master Data'!$C$15*$S$21</f>
        <v>36862.382513661199</v>
      </c>
      <c r="L50" s="75">
        <f>L44*60*'Master Data'!$C$15*$S$21</f>
        <v>45671.999999999993</v>
      </c>
      <c r="M50" s="75">
        <f>M44*60*'Master Data'!$C$15*$S$21</f>
        <v>45671.999999999993</v>
      </c>
    </row>
    <row r="51" spans="9:13" ht="21" customHeight="1" x14ac:dyDescent="0.3">
      <c r="I51" s="29" t="s">
        <v>16</v>
      </c>
      <c r="J51" s="75">
        <f>J45*60*'Master Data'!$C$15*$T$21</f>
        <v>0</v>
      </c>
      <c r="K51" s="75">
        <f>K45*60*'Master Data'!$C$15*$T$21</f>
        <v>32768.988935721805</v>
      </c>
      <c r="L51" s="75">
        <f>L45*60*'Master Data'!$C$15*$T$21</f>
        <v>14026.488935721813</v>
      </c>
      <c r="M51" s="75">
        <f>M45*60*'Master Data'!$C$15*$T$21</f>
        <v>-4716.0110642781756</v>
      </c>
    </row>
    <row r="52" spans="9:13" ht="21" customHeight="1" x14ac:dyDescent="0.3">
      <c r="J52" s="75">
        <f>SUM(J48:J51)</f>
        <v>0</v>
      </c>
      <c r="K52" s="75">
        <f t="shared" ref="K52:L52" si="8">SUM(K48:K51)</f>
        <v>27541.128774224984</v>
      </c>
      <c r="L52" s="75">
        <f t="shared" si="8"/>
        <v>16869.260917925283</v>
      </c>
      <c r="M52" s="75">
        <f>SUM(M48:M51)</f>
        <v>3391.2480974124746</v>
      </c>
    </row>
    <row r="54" spans="9:13" ht="21" customHeight="1" x14ac:dyDescent="0.3">
      <c r="I54" s="28" t="s">
        <v>370</v>
      </c>
      <c r="J54" s="251">
        <f>J22-J39-J52</f>
        <v>21293.326086956524</v>
      </c>
      <c r="K54" s="251">
        <f>K22-K39-K52</f>
        <v>-104114.96372059501</v>
      </c>
      <c r="L54" s="251">
        <f>L22-L39-L52</f>
        <v>-56822.887595668944</v>
      </c>
      <c r="M54" s="251">
        <f>M22-M39-M52</f>
        <v>-53260.661441822806</v>
      </c>
    </row>
    <row r="99" spans="12:12" ht="21" customHeight="1" x14ac:dyDescent="0.3">
      <c r="L99" s="34"/>
    </row>
    <row r="148" spans="12:12" ht="21" customHeight="1" x14ac:dyDescent="0.3">
      <c r="L148" s="34"/>
    </row>
    <row r="149" spans="12:12" ht="21" customHeight="1" x14ac:dyDescent="0.3">
      <c r="L149" s="34"/>
    </row>
  </sheetData>
  <sheetProtection selectLockedCells="1" selectUnlockedCells="1"/>
  <mergeCells count="7">
    <mergeCell ref="A1:F1"/>
    <mergeCell ref="I1:M1"/>
    <mergeCell ref="P1:T1"/>
    <mergeCell ref="J4:M4"/>
    <mergeCell ref="A3:F3"/>
    <mergeCell ref="A11:F11"/>
    <mergeCell ref="A23:F23"/>
  </mergeCells>
  <conditionalFormatting sqref="A34:C34">
    <cfRule type="expression" dxfId="1" priority="1">
      <formula>#REF!="No"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I35"/>
  <sheetViews>
    <sheetView zoomScale="95" zoomScaleNormal="95" workbookViewId="0">
      <selection activeCell="C4" sqref="C4"/>
    </sheetView>
  </sheetViews>
  <sheetFormatPr defaultColWidth="8.6640625" defaultRowHeight="21" customHeight="1" x14ac:dyDescent="0.3"/>
  <cols>
    <col min="1" max="1" width="8.6640625" style="3"/>
    <col min="2" max="2" width="40.5546875" style="42" customWidth="1"/>
    <col min="3" max="3" width="10.88671875" style="3" customWidth="1"/>
    <col min="4" max="4" width="8.6640625" style="3"/>
    <col min="5" max="5" width="46.44140625" style="3" customWidth="1"/>
    <col min="6" max="6" width="10.88671875" style="3" customWidth="1"/>
    <col min="7" max="16384" width="8.6640625" style="3"/>
  </cols>
  <sheetData>
    <row r="1" spans="1:9" ht="21" customHeight="1" x14ac:dyDescent="0.3">
      <c r="A1" s="33"/>
    </row>
    <row r="2" spans="1:9" ht="21" customHeight="1" x14ac:dyDescent="0.3">
      <c r="A2" s="33"/>
      <c r="B2" s="209" t="s">
        <v>197</v>
      </c>
      <c r="C2" s="209"/>
    </row>
    <row r="3" spans="1:9" ht="21" customHeight="1" x14ac:dyDescent="0.3">
      <c r="A3" s="33"/>
      <c r="B3" s="163" t="s">
        <v>292</v>
      </c>
      <c r="C3" s="46">
        <v>43922</v>
      </c>
    </row>
    <row r="4" spans="1:9" ht="21" customHeight="1" x14ac:dyDescent="0.3">
      <c r="A4" s="33"/>
      <c r="B4" s="38" t="s">
        <v>293</v>
      </c>
      <c r="C4" s="23">
        <v>6</v>
      </c>
    </row>
    <row r="5" spans="1:9" ht="21" customHeight="1" x14ac:dyDescent="0.3">
      <c r="A5" s="33"/>
      <c r="B5" s="38" t="s">
        <v>294</v>
      </c>
      <c r="C5" s="23">
        <v>1</v>
      </c>
    </row>
    <row r="6" spans="1:9" ht="21" customHeight="1" x14ac:dyDescent="0.3">
      <c r="A6" s="33"/>
      <c r="B6" s="38" t="s">
        <v>295</v>
      </c>
      <c r="C6" s="23">
        <v>60</v>
      </c>
    </row>
    <row r="7" spans="1:9" ht="21" customHeight="1" x14ac:dyDescent="0.3">
      <c r="A7" s="33"/>
      <c r="B7" s="38" t="s">
        <v>185</v>
      </c>
      <c r="C7" s="23">
        <v>10</v>
      </c>
    </row>
    <row r="8" spans="1:9" ht="21" customHeight="1" x14ac:dyDescent="0.3">
      <c r="A8" s="33"/>
      <c r="B8" s="38" t="s">
        <v>17</v>
      </c>
      <c r="C8" s="23">
        <v>1</v>
      </c>
      <c r="D8" s="33"/>
      <c r="F8" s="33"/>
      <c r="G8" s="33"/>
      <c r="H8" s="33"/>
      <c r="I8" s="33"/>
    </row>
    <row r="9" spans="1:9" ht="21" customHeight="1" x14ac:dyDescent="0.3">
      <c r="A9" s="33"/>
      <c r="B9" s="38" t="s">
        <v>18</v>
      </c>
      <c r="C9" s="23">
        <v>1</v>
      </c>
      <c r="D9" s="33"/>
      <c r="F9" s="33"/>
      <c r="G9" s="33"/>
      <c r="H9" s="33"/>
      <c r="I9" s="33"/>
    </row>
    <row r="10" spans="1:9" ht="21" customHeight="1" x14ac:dyDescent="0.3">
      <c r="A10" s="33"/>
      <c r="B10" s="3"/>
      <c r="D10" s="33"/>
      <c r="F10" s="33"/>
      <c r="G10" s="33"/>
      <c r="H10" s="33"/>
      <c r="I10" s="33"/>
    </row>
    <row r="11" spans="1:9" ht="21" customHeight="1" x14ac:dyDescent="0.3">
      <c r="A11" s="33"/>
      <c r="B11" s="38" t="s">
        <v>184</v>
      </c>
      <c r="C11" s="33"/>
    </row>
    <row r="12" spans="1:9" ht="21" customHeight="1" x14ac:dyDescent="0.3">
      <c r="A12" s="33"/>
      <c r="B12" s="38" t="s">
        <v>5</v>
      </c>
      <c r="C12" s="23"/>
      <c r="E12" s="238" t="s">
        <v>94</v>
      </c>
      <c r="F12" s="238"/>
    </row>
    <row r="13" spans="1:9" ht="21" customHeight="1" x14ac:dyDescent="0.3">
      <c r="A13" s="33"/>
      <c r="B13" s="38" t="s">
        <v>6</v>
      </c>
      <c r="C13" s="23"/>
      <c r="E13" s="238"/>
      <c r="F13" s="238"/>
    </row>
    <row r="14" spans="1:9" ht="21" customHeight="1" x14ac:dyDescent="0.3">
      <c r="A14" s="33"/>
      <c r="B14" s="38" t="s">
        <v>7</v>
      </c>
      <c r="C14" s="23"/>
      <c r="E14" s="238"/>
      <c r="F14" s="238"/>
    </row>
    <row r="15" spans="1:9" ht="21" customHeight="1" x14ac:dyDescent="0.3">
      <c r="A15" s="33"/>
      <c r="B15" s="38" t="s">
        <v>16</v>
      </c>
      <c r="C15" s="23"/>
      <c r="E15" s="238"/>
      <c r="F15" s="238"/>
    </row>
    <row r="16" spans="1:9" ht="21" customHeight="1" x14ac:dyDescent="0.3">
      <c r="A16" s="33"/>
      <c r="E16" s="42"/>
    </row>
    <row r="18" spans="2:6" ht="21" customHeight="1" x14ac:dyDescent="0.3">
      <c r="B18" s="41" t="s">
        <v>43</v>
      </c>
      <c r="C18" s="1"/>
      <c r="E18" s="41" t="s">
        <v>44</v>
      </c>
      <c r="F18" s="5"/>
    </row>
    <row r="19" spans="2:6" ht="21" customHeight="1" x14ac:dyDescent="0.3">
      <c r="B19" s="43" t="s">
        <v>28</v>
      </c>
      <c r="C19" s="31" t="s">
        <v>29</v>
      </c>
      <c r="E19" s="43" t="s">
        <v>28</v>
      </c>
      <c r="F19" s="31" t="s">
        <v>29</v>
      </c>
    </row>
    <row r="20" spans="2:6" ht="21" customHeight="1" x14ac:dyDescent="0.3">
      <c r="B20" s="44"/>
      <c r="C20" s="27"/>
      <c r="E20" s="44" t="s">
        <v>200</v>
      </c>
      <c r="F20" s="27">
        <f>100*(C6*C5)/60*12</f>
        <v>1200</v>
      </c>
    </row>
    <row r="21" spans="2:6" ht="21" customHeight="1" x14ac:dyDescent="0.3">
      <c r="B21" s="44"/>
      <c r="C21" s="27"/>
      <c r="E21" s="44"/>
      <c r="F21" s="27"/>
    </row>
    <row r="22" spans="2:6" ht="21" customHeight="1" x14ac:dyDescent="0.3">
      <c r="B22" s="44"/>
      <c r="C22" s="27"/>
      <c r="E22" s="44"/>
      <c r="F22" s="27"/>
    </row>
    <row r="23" spans="2:6" ht="21" customHeight="1" x14ac:dyDescent="0.3">
      <c r="B23" s="45"/>
      <c r="C23" s="1"/>
      <c r="E23" s="45"/>
      <c r="F23" s="1"/>
    </row>
    <row r="24" spans="2:6" ht="21" customHeight="1" x14ac:dyDescent="0.3">
      <c r="B24" s="38" t="s">
        <v>150</v>
      </c>
      <c r="C24" s="19">
        <f>SUM(C20:C23)</f>
        <v>0</v>
      </c>
      <c r="E24" s="38" t="s">
        <v>26</v>
      </c>
      <c r="F24" s="19">
        <f>SUM(F20:F23)</f>
        <v>1200</v>
      </c>
    </row>
    <row r="26" spans="2:6" ht="21" customHeight="1" x14ac:dyDescent="0.3">
      <c r="B26" s="38" t="s">
        <v>194</v>
      </c>
    </row>
    <row r="27" spans="2:6" ht="21" customHeight="1" x14ac:dyDescent="0.3">
      <c r="B27" s="38" t="s">
        <v>58</v>
      </c>
      <c r="C27" s="19">
        <f>IFERROR(-C6/GP_Consult_Length*Average_GP_Revenue*12*C5,0)*(C8+C12)</f>
        <v>-576</v>
      </c>
    </row>
    <row r="28" spans="2:6" ht="21" customHeight="1" x14ac:dyDescent="0.3">
      <c r="B28" s="38" t="s">
        <v>59</v>
      </c>
      <c r="C28" s="19">
        <f>IFERROR(-C6/Nurse_Consult_Length*Average_Nurse_Revenue*12*C5,0)*(C9+C13)</f>
        <v>-48</v>
      </c>
    </row>
    <row r="29" spans="2:6" ht="21" customHeight="1" x14ac:dyDescent="0.3">
      <c r="B29" s="38" t="s">
        <v>60</v>
      </c>
      <c r="C29" s="19">
        <f>SUM(C27:C28)</f>
        <v>-624</v>
      </c>
    </row>
    <row r="31" spans="2:6" ht="21" customHeight="1" x14ac:dyDescent="0.3">
      <c r="B31" s="38" t="s">
        <v>93</v>
      </c>
      <c r="C31" s="11"/>
      <c r="E31" s="227" t="s">
        <v>167</v>
      </c>
      <c r="F31" s="228"/>
    </row>
    <row r="32" spans="2:6" ht="21" customHeight="1" x14ac:dyDescent="0.3">
      <c r="B32" s="38" t="s">
        <v>5</v>
      </c>
      <c r="C32" s="79">
        <f>IFERROR(($C$6/$C$7*$C$8*$C$7*$C$5*12)+($C12*$C$5*$C$6*12),0)</f>
        <v>720</v>
      </c>
      <c r="E32" s="229"/>
      <c r="F32" s="230"/>
    </row>
    <row r="33" spans="2:3" ht="21" customHeight="1" x14ac:dyDescent="0.3">
      <c r="B33" s="38" t="s">
        <v>6</v>
      </c>
      <c r="C33" s="79">
        <f>IFERROR(($C$6/$C$7*$C$9*$C$7*$C$5*12)+($C13*$C$5*$C$6*12),0)</f>
        <v>720</v>
      </c>
    </row>
    <row r="34" spans="2:3" ht="21" customHeight="1" x14ac:dyDescent="0.3">
      <c r="B34" s="38" t="s">
        <v>7</v>
      </c>
      <c r="C34" s="79">
        <f>IFERROR($C14*$C$5*$C$6*12,0)</f>
        <v>0</v>
      </c>
    </row>
    <row r="35" spans="2:3" ht="21" customHeight="1" x14ac:dyDescent="0.3">
      <c r="B35" s="38" t="s">
        <v>16</v>
      </c>
      <c r="C35" s="79">
        <f>IFERROR($C15*$C$5*$C$6*12,0)</f>
        <v>0</v>
      </c>
    </row>
  </sheetData>
  <sheetProtection selectLockedCells="1"/>
  <mergeCells count="3">
    <mergeCell ref="E12:F15"/>
    <mergeCell ref="E31:F32"/>
    <mergeCell ref="B2:C2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54"/>
  <sheetViews>
    <sheetView workbookViewId="0">
      <selection activeCell="C12" sqref="C12"/>
    </sheetView>
  </sheetViews>
  <sheetFormatPr defaultColWidth="9.109375" defaultRowHeight="21" customHeight="1" x14ac:dyDescent="0.3"/>
  <cols>
    <col min="1" max="1" width="5.109375" style="3" bestFit="1" customWidth="1"/>
    <col min="2" max="2" width="54.33203125" style="3" customWidth="1"/>
    <col min="3" max="6" width="12.21875" style="3" customWidth="1"/>
    <col min="7" max="7" width="22.33203125" style="5" bestFit="1" customWidth="1"/>
    <col min="8" max="8" width="49.44140625" style="5" customWidth="1"/>
    <col min="9" max="9" width="15.5546875" style="3" customWidth="1"/>
    <col min="10" max="10" width="19.5546875" style="3" customWidth="1"/>
    <col min="11" max="16384" width="9.109375" style="3"/>
  </cols>
  <sheetData>
    <row r="2" spans="1:9" ht="21" customHeight="1" x14ac:dyDescent="0.3">
      <c r="A2" s="33"/>
      <c r="B2" s="239" t="s">
        <v>305</v>
      </c>
      <c r="C2" s="239"/>
      <c r="D2" s="20"/>
    </row>
    <row r="3" spans="1:9" ht="21" customHeight="1" x14ac:dyDescent="0.3">
      <c r="B3" s="38" t="s">
        <v>64</v>
      </c>
      <c r="C3" s="101">
        <f>Enrolled_patients</f>
        <v>10000</v>
      </c>
      <c r="D3" s="20"/>
    </row>
    <row r="4" spans="1:9" ht="21" customHeight="1" x14ac:dyDescent="0.3">
      <c r="C4" s="99" t="s">
        <v>9</v>
      </c>
      <c r="D4" s="99" t="s">
        <v>89</v>
      </c>
    </row>
    <row r="5" spans="1:9" ht="21" customHeight="1" x14ac:dyDescent="0.3">
      <c r="B5" s="38" t="s">
        <v>308</v>
      </c>
      <c r="C5" s="130">
        <v>0.05</v>
      </c>
      <c r="D5" s="113"/>
    </row>
    <row r="6" spans="1:9" ht="21" customHeight="1" x14ac:dyDescent="0.3">
      <c r="B6" s="38" t="s">
        <v>309</v>
      </c>
      <c r="C6" s="106">
        <f>IF(D5&gt;0,D5,C3*C5)</f>
        <v>500</v>
      </c>
    </row>
    <row r="7" spans="1:9" ht="21" customHeight="1" x14ac:dyDescent="0.3">
      <c r="B7" s="38" t="s">
        <v>306</v>
      </c>
      <c r="C7" s="131">
        <v>0</v>
      </c>
    </row>
    <row r="8" spans="1:9" ht="21" customHeight="1" x14ac:dyDescent="0.3">
      <c r="B8" s="38" t="s">
        <v>307</v>
      </c>
      <c r="C8" s="106">
        <f>C6-C7</f>
        <v>500</v>
      </c>
    </row>
    <row r="9" spans="1:9" ht="21" customHeight="1" x14ac:dyDescent="0.3">
      <c r="B9" s="38" t="s">
        <v>310</v>
      </c>
      <c r="C9" s="131">
        <f>C6</f>
        <v>500</v>
      </c>
    </row>
    <row r="10" spans="1:9" ht="21" customHeight="1" x14ac:dyDescent="0.3">
      <c r="B10" s="163" t="s">
        <v>292</v>
      </c>
      <c r="C10" s="119">
        <v>43922</v>
      </c>
    </row>
    <row r="11" spans="1:9" ht="21" customHeight="1" x14ac:dyDescent="0.3">
      <c r="B11" s="38" t="s">
        <v>67</v>
      </c>
      <c r="C11" s="113">
        <v>12</v>
      </c>
    </row>
    <row r="13" spans="1:9" ht="21" customHeight="1" x14ac:dyDescent="0.3">
      <c r="B13" s="38" t="s">
        <v>183</v>
      </c>
      <c r="C13" s="23" t="s">
        <v>203</v>
      </c>
    </row>
    <row r="15" spans="1:9" ht="21" customHeight="1" x14ac:dyDescent="0.3">
      <c r="B15" s="240" t="s">
        <v>311</v>
      </c>
      <c r="C15" s="240"/>
      <c r="D15" s="240"/>
      <c r="E15" s="240"/>
      <c r="F15" s="240"/>
      <c r="H15" s="41" t="s">
        <v>43</v>
      </c>
      <c r="I15" s="1"/>
    </row>
    <row r="16" spans="1:9" ht="21" customHeight="1" x14ac:dyDescent="0.3">
      <c r="B16" s="102" t="s">
        <v>124</v>
      </c>
      <c r="C16" s="99" t="s">
        <v>169</v>
      </c>
      <c r="D16" s="99" t="s">
        <v>170</v>
      </c>
      <c r="E16" s="99" t="s">
        <v>168</v>
      </c>
      <c r="F16" s="187" t="s">
        <v>312</v>
      </c>
      <c r="H16" s="43" t="s">
        <v>28</v>
      </c>
      <c r="I16" s="31" t="s">
        <v>29</v>
      </c>
    </row>
    <row r="17" spans="2:9" ht="21" customHeight="1" x14ac:dyDescent="0.3">
      <c r="B17" s="107" t="s">
        <v>204</v>
      </c>
      <c r="C17" s="91"/>
      <c r="D17" s="91">
        <v>75</v>
      </c>
      <c r="E17" s="91">
        <v>0</v>
      </c>
      <c r="F17" s="91">
        <v>1</v>
      </c>
      <c r="H17" s="108"/>
      <c r="I17" s="109"/>
    </row>
    <row r="18" spans="2:9" ht="21" customHeight="1" x14ac:dyDescent="0.3">
      <c r="B18" s="107" t="s">
        <v>205</v>
      </c>
      <c r="C18" s="91">
        <v>15</v>
      </c>
      <c r="D18" s="91"/>
      <c r="E18" s="126">
        <f>Average_GP_Revenue</f>
        <v>12</v>
      </c>
      <c r="F18" s="91">
        <v>1</v>
      </c>
      <c r="H18" s="108"/>
      <c r="I18" s="109"/>
    </row>
    <row r="19" spans="2:9" ht="21" customHeight="1" x14ac:dyDescent="0.3">
      <c r="B19" s="107" t="s">
        <v>206</v>
      </c>
      <c r="C19" s="91"/>
      <c r="D19" s="91">
        <v>30</v>
      </c>
      <c r="E19" s="126">
        <f>D19/Nurse_Consult_Length*Average_Nurse_Revenue</f>
        <v>2</v>
      </c>
      <c r="F19" s="91">
        <v>2</v>
      </c>
      <c r="H19" s="108"/>
      <c r="I19" s="109"/>
    </row>
    <row r="20" spans="2:9" ht="21" customHeight="1" x14ac:dyDescent="0.3">
      <c r="B20" s="107" t="s">
        <v>207</v>
      </c>
      <c r="C20" s="91"/>
      <c r="D20" s="91">
        <v>10</v>
      </c>
      <c r="E20" s="126">
        <v>0</v>
      </c>
      <c r="F20" s="91">
        <v>8</v>
      </c>
      <c r="H20" s="45"/>
      <c r="I20" s="1"/>
    </row>
    <row r="21" spans="2:9" ht="21" customHeight="1" x14ac:dyDescent="0.3">
      <c r="B21" s="107"/>
      <c r="C21" s="91"/>
      <c r="D21" s="91"/>
      <c r="E21" s="91"/>
      <c r="F21" s="91"/>
      <c r="H21" s="38" t="s">
        <v>150</v>
      </c>
      <c r="I21" s="19">
        <f>SUM(I17:I20)</f>
        <v>0</v>
      </c>
    </row>
    <row r="22" spans="2:9" ht="21" customHeight="1" x14ac:dyDescent="0.3">
      <c r="B22" s="183" t="s">
        <v>313</v>
      </c>
      <c r="C22" s="193">
        <v>260.55959999999999</v>
      </c>
      <c r="D22" s="5"/>
      <c r="E22" s="5"/>
      <c r="F22" s="5"/>
      <c r="H22" s="3"/>
    </row>
    <row r="23" spans="2:9" ht="21" customHeight="1" x14ac:dyDescent="0.3">
      <c r="B23" s="42"/>
      <c r="H23" s="41" t="s">
        <v>44</v>
      </c>
      <c r="I23" s="5"/>
    </row>
    <row r="24" spans="2:9" ht="21" customHeight="1" x14ac:dyDescent="0.3">
      <c r="B24" s="240" t="s">
        <v>171</v>
      </c>
      <c r="C24" s="240"/>
      <c r="D24" s="240"/>
      <c r="E24" s="240"/>
      <c r="F24" s="240"/>
      <c r="H24" s="43" t="s">
        <v>28</v>
      </c>
      <c r="I24" s="31" t="s">
        <v>29</v>
      </c>
    </row>
    <row r="25" spans="2:9" ht="21" customHeight="1" x14ac:dyDescent="0.3">
      <c r="B25" s="102" t="s">
        <v>124</v>
      </c>
      <c r="C25" s="99" t="s">
        <v>169</v>
      </c>
      <c r="D25" s="99" t="s">
        <v>170</v>
      </c>
      <c r="E25" s="99" t="s">
        <v>168</v>
      </c>
      <c r="F25" s="187" t="s">
        <v>312</v>
      </c>
      <c r="H25" s="44"/>
      <c r="I25" s="27"/>
    </row>
    <row r="26" spans="2:9" ht="21" customHeight="1" x14ac:dyDescent="0.3">
      <c r="B26" s="107" t="s">
        <v>257</v>
      </c>
      <c r="C26" s="91">
        <v>15</v>
      </c>
      <c r="D26" s="91"/>
      <c r="E26" s="91">
        <v>0</v>
      </c>
      <c r="F26" s="91">
        <v>4</v>
      </c>
      <c r="H26" s="44"/>
      <c r="I26" s="27"/>
    </row>
    <row r="27" spans="2:9" ht="21" customHeight="1" x14ac:dyDescent="0.3">
      <c r="B27" s="107"/>
      <c r="C27" s="91"/>
      <c r="D27" s="91"/>
      <c r="E27" s="126"/>
      <c r="F27" s="91"/>
      <c r="H27" s="44"/>
      <c r="I27" s="27"/>
    </row>
    <row r="28" spans="2:9" ht="21" customHeight="1" x14ac:dyDescent="0.3">
      <c r="B28" s="107"/>
      <c r="C28" s="91"/>
      <c r="D28" s="91"/>
      <c r="E28" s="91"/>
      <c r="F28" s="91"/>
      <c r="H28" s="45"/>
      <c r="I28" s="1"/>
    </row>
    <row r="29" spans="2:9" ht="21" customHeight="1" x14ac:dyDescent="0.3">
      <c r="B29" s="107"/>
      <c r="C29" s="91"/>
      <c r="D29" s="91"/>
      <c r="E29" s="91"/>
      <c r="F29" s="91"/>
      <c r="H29" s="38" t="s">
        <v>26</v>
      </c>
      <c r="I29" s="19">
        <f>SUM(I25:I28)</f>
        <v>0</v>
      </c>
    </row>
    <row r="30" spans="2:9" ht="21" customHeight="1" x14ac:dyDescent="0.3">
      <c r="B30" s="183" t="s">
        <v>313</v>
      </c>
      <c r="C30" s="193">
        <v>260.55959999999999</v>
      </c>
      <c r="D30" s="192"/>
      <c r="E30" s="5"/>
      <c r="F30" s="5"/>
      <c r="H30" s="3"/>
    </row>
    <row r="31" spans="2:9" ht="21" customHeight="1" x14ac:dyDescent="0.3">
      <c r="B31" s="42"/>
      <c r="C31" s="5"/>
      <c r="D31" s="5"/>
      <c r="H31" s="227" t="s">
        <v>167</v>
      </c>
      <c r="I31" s="228"/>
    </row>
    <row r="32" spans="2:9" ht="21" customHeight="1" x14ac:dyDescent="0.3">
      <c r="B32" s="183" t="s">
        <v>194</v>
      </c>
      <c r="H32" s="229"/>
      <c r="I32" s="230"/>
    </row>
    <row r="33" spans="1:6" ht="21" customHeight="1" x14ac:dyDescent="0.3">
      <c r="C33" s="183" t="s">
        <v>5</v>
      </c>
      <c r="D33" s="183" t="s">
        <v>6</v>
      </c>
    </row>
    <row r="34" spans="1:6" ht="21" customHeight="1" x14ac:dyDescent="0.3">
      <c r="B34" s="183" t="s">
        <v>316</v>
      </c>
      <c r="C34" s="79">
        <f>-C42/GP_Consult_Length</f>
        <v>1500</v>
      </c>
      <c r="D34" s="79">
        <f>-D42/Nurse_Consult_Length</f>
        <v>-7166.666666666667</v>
      </c>
    </row>
    <row r="35" spans="1:6" ht="21" customHeight="1" x14ac:dyDescent="0.3">
      <c r="B35" s="183" t="s">
        <v>315</v>
      </c>
      <c r="C35" s="79">
        <f>C34*Average_GP_Revenue</f>
        <v>18000</v>
      </c>
      <c r="D35" s="194">
        <f>D34*Average_Nurse_Revenue</f>
        <v>-7166.666666666667</v>
      </c>
    </row>
    <row r="36" spans="1:6" ht="21" customHeight="1" x14ac:dyDescent="0.3">
      <c r="B36" s="183" t="s">
        <v>317</v>
      </c>
      <c r="C36" s="79">
        <f>C6*SUMPRODUCT(E17:E21,F17:F21)-C9*SUMPRODUCT(E26:E29,F26:F29)</f>
        <v>8000</v>
      </c>
    </row>
    <row r="37" spans="1:6" ht="21" customHeight="1" x14ac:dyDescent="0.3">
      <c r="B37" s="183" t="s">
        <v>314</v>
      </c>
      <c r="C37" s="79">
        <f>C22*C6-C30*C9</f>
        <v>0</v>
      </c>
    </row>
    <row r="38" spans="1:6" ht="21" customHeight="1" x14ac:dyDescent="0.3">
      <c r="B38" s="183" t="s">
        <v>270</v>
      </c>
      <c r="C38" s="79">
        <f>SUM(C35:C37,D35)</f>
        <v>18833.333333333332</v>
      </c>
    </row>
    <row r="39" spans="1:6" ht="21" customHeight="1" x14ac:dyDescent="0.3">
      <c r="B39" s="42"/>
      <c r="C39" s="5"/>
    </row>
    <row r="41" spans="1:6" ht="21" customHeight="1" x14ac:dyDescent="0.3">
      <c r="C41" s="183" t="s">
        <v>5</v>
      </c>
      <c r="D41" s="183" t="s">
        <v>6</v>
      </c>
      <c r="E41" s="5"/>
      <c r="F41" s="5"/>
    </row>
    <row r="42" spans="1:6" ht="21" customHeight="1" x14ac:dyDescent="0.3">
      <c r="B42" s="183" t="s">
        <v>93</v>
      </c>
      <c r="C42" s="79">
        <f>C6*SUMPRODUCT(C17:C21,F17:F21)-C9*SUMPRODUCT(C26:C29,F26:F29)</f>
        <v>-22500</v>
      </c>
      <c r="D42" s="79">
        <f>C6*SUMPRODUCT(D17:D21,F17:F21)-C9*SUMPRODUCT(D26:D29,F26:F29)</f>
        <v>107500</v>
      </c>
      <c r="E42" s="5"/>
      <c r="F42" s="5"/>
    </row>
    <row r="43" spans="1:6" ht="21" customHeight="1" x14ac:dyDescent="0.3">
      <c r="A43" s="5"/>
      <c r="B43" s="5"/>
      <c r="C43" s="5"/>
      <c r="D43" s="5"/>
      <c r="E43" s="5"/>
      <c r="F43" s="5"/>
    </row>
    <row r="44" spans="1:6" ht="21" customHeight="1" x14ac:dyDescent="0.3">
      <c r="D44" s="5"/>
    </row>
    <row r="45" spans="1:6" ht="21" customHeight="1" x14ac:dyDescent="0.3">
      <c r="D45" s="5"/>
    </row>
    <row r="46" spans="1:6" ht="21" customHeight="1" x14ac:dyDescent="0.3">
      <c r="D46" s="5"/>
    </row>
    <row r="47" spans="1:6" ht="21" customHeight="1" x14ac:dyDescent="0.3">
      <c r="D47" s="5"/>
    </row>
    <row r="48" spans="1:6" ht="21" customHeight="1" x14ac:dyDescent="0.3">
      <c r="D48" s="5"/>
    </row>
    <row r="49" spans="3:4" ht="21" customHeight="1" x14ac:dyDescent="0.3">
      <c r="D49" s="5"/>
    </row>
    <row r="50" spans="3:4" ht="21" customHeight="1" x14ac:dyDescent="0.3">
      <c r="D50" s="5"/>
    </row>
    <row r="51" spans="3:4" ht="21" customHeight="1" x14ac:dyDescent="0.3">
      <c r="D51" s="5"/>
    </row>
    <row r="52" spans="3:4" ht="21" customHeight="1" x14ac:dyDescent="0.3">
      <c r="D52" s="5"/>
    </row>
    <row r="53" spans="3:4" ht="21" customHeight="1" x14ac:dyDescent="0.3">
      <c r="D53" s="5"/>
    </row>
    <row r="54" spans="3:4" ht="21" customHeight="1" x14ac:dyDescent="0.3">
      <c r="C54" s="5"/>
      <c r="D54" s="5"/>
    </row>
  </sheetData>
  <sheetProtection selectLockedCells="1"/>
  <mergeCells count="4">
    <mergeCell ref="B2:C2"/>
    <mergeCell ref="B24:F24"/>
    <mergeCell ref="H31:I32"/>
    <mergeCell ref="B15:F15"/>
  </mergeCells>
  <dataValidations count="1">
    <dataValidation type="list" allowBlank="1" showInputMessage="1" showErrorMessage="1" sqref="C13" xr:uid="{00000000-0002-0000-0800-000000000000}">
      <formula1>"Yes,No"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D28"/>
  <sheetViews>
    <sheetView zoomScale="99" zoomScaleNormal="99" workbookViewId="0">
      <selection activeCell="A7" sqref="A7"/>
    </sheetView>
  </sheetViews>
  <sheetFormatPr defaultColWidth="9.109375" defaultRowHeight="21" customHeight="1" x14ac:dyDescent="0.3"/>
  <cols>
    <col min="1" max="1" width="9.109375" style="1"/>
    <col min="2" max="2" width="53.44140625" style="1" bestFit="1" customWidth="1"/>
    <col min="3" max="3" width="11.109375" style="1" customWidth="1"/>
    <col min="4" max="4" width="9.109375" style="1"/>
    <col min="5" max="5" width="49.44140625" style="1" bestFit="1" customWidth="1"/>
    <col min="6" max="6" width="15.109375" style="1" customWidth="1"/>
    <col min="7" max="16384" width="9.109375" style="1"/>
  </cols>
  <sheetData>
    <row r="1" spans="1:4" ht="21" customHeight="1" x14ac:dyDescent="0.3">
      <c r="B1" s="1" t="s">
        <v>229</v>
      </c>
    </row>
    <row r="2" spans="1:4" ht="21" customHeight="1" x14ac:dyDescent="0.3">
      <c r="B2" s="138" t="s">
        <v>223</v>
      </c>
    </row>
    <row r="3" spans="1:4" ht="21" customHeight="1" x14ac:dyDescent="0.3">
      <c r="A3" s="33"/>
      <c r="B3" s="138" t="s">
        <v>208</v>
      </c>
    </row>
    <row r="4" spans="1:4" ht="21" customHeight="1" x14ac:dyDescent="0.3">
      <c r="A4" s="33"/>
      <c r="B4" s="138"/>
    </row>
    <row r="5" spans="1:4" ht="21" customHeight="1" x14ac:dyDescent="0.3">
      <c r="B5" s="18" t="s">
        <v>24</v>
      </c>
      <c r="C5" s="113">
        <v>1</v>
      </c>
    </row>
    <row r="6" spans="1:4" ht="21" customHeight="1" x14ac:dyDescent="0.3">
      <c r="B6" s="18" t="s">
        <v>25</v>
      </c>
      <c r="C6" s="64">
        <f>Annual_FTE_hours*60*'Call Management'!C5</f>
        <v>115200</v>
      </c>
    </row>
    <row r="8" spans="1:4" ht="21" customHeight="1" x14ac:dyDescent="0.3">
      <c r="B8" s="163" t="s">
        <v>234</v>
      </c>
      <c r="C8" s="46">
        <v>43922</v>
      </c>
    </row>
    <row r="9" spans="1:4" ht="21" customHeight="1" x14ac:dyDescent="0.3">
      <c r="B9" s="18" t="s">
        <v>187</v>
      </c>
      <c r="C9" s="23">
        <v>1</v>
      </c>
    </row>
    <row r="10" spans="1:4" ht="21" customHeight="1" x14ac:dyDescent="0.3">
      <c r="D10" s="3"/>
    </row>
    <row r="11" spans="1:4" ht="21" customHeight="1" x14ac:dyDescent="0.3">
      <c r="B11" s="41" t="s">
        <v>43</v>
      </c>
      <c r="D11" s="3"/>
    </row>
    <row r="12" spans="1:4" ht="21" customHeight="1" x14ac:dyDescent="0.3">
      <c r="B12" s="43" t="s">
        <v>28</v>
      </c>
      <c r="C12" s="31" t="s">
        <v>29</v>
      </c>
      <c r="D12" s="3"/>
    </row>
    <row r="13" spans="1:4" ht="21" customHeight="1" x14ac:dyDescent="0.3">
      <c r="B13" s="44" t="s">
        <v>222</v>
      </c>
      <c r="C13" s="27">
        <v>2000</v>
      </c>
      <c r="D13" s="3"/>
    </row>
    <row r="14" spans="1:4" ht="21" customHeight="1" x14ac:dyDescent="0.3">
      <c r="B14" s="44"/>
      <c r="C14" s="27"/>
      <c r="D14" s="3"/>
    </row>
    <row r="15" spans="1:4" ht="21" customHeight="1" x14ac:dyDescent="0.3">
      <c r="B15" s="44"/>
      <c r="C15" s="27"/>
      <c r="D15" s="3"/>
    </row>
    <row r="16" spans="1:4" ht="21" customHeight="1" x14ac:dyDescent="0.3">
      <c r="B16" s="45"/>
      <c r="D16" s="3"/>
    </row>
    <row r="17" spans="2:3" ht="21" customHeight="1" x14ac:dyDescent="0.3">
      <c r="B17" s="38" t="s">
        <v>150</v>
      </c>
      <c r="C17" s="19">
        <f>SUM(C13:C16)</f>
        <v>2000</v>
      </c>
    </row>
    <row r="19" spans="2:3" ht="21" customHeight="1" x14ac:dyDescent="0.3">
      <c r="B19" s="41" t="s">
        <v>44</v>
      </c>
      <c r="C19" s="5"/>
    </row>
    <row r="20" spans="2:3" ht="21" customHeight="1" x14ac:dyDescent="0.3">
      <c r="B20" s="43" t="s">
        <v>28</v>
      </c>
      <c r="C20" s="31" t="s">
        <v>29</v>
      </c>
    </row>
    <row r="21" spans="2:3" ht="21" customHeight="1" x14ac:dyDescent="0.3">
      <c r="B21" s="44"/>
      <c r="C21" s="27"/>
    </row>
    <row r="22" spans="2:3" ht="21" customHeight="1" x14ac:dyDescent="0.3">
      <c r="B22" s="44"/>
      <c r="C22" s="27"/>
    </row>
    <row r="23" spans="2:3" ht="21" customHeight="1" x14ac:dyDescent="0.3">
      <c r="B23" s="44"/>
      <c r="C23" s="27"/>
    </row>
    <row r="24" spans="2:3" ht="21" customHeight="1" x14ac:dyDescent="0.3">
      <c r="B24" s="45"/>
    </row>
    <row r="25" spans="2:3" ht="21" customHeight="1" x14ac:dyDescent="0.3">
      <c r="B25" s="38" t="s">
        <v>26</v>
      </c>
      <c r="C25" s="19">
        <f>SUM(C21:C24)</f>
        <v>0</v>
      </c>
    </row>
    <row r="27" spans="2:3" ht="21" customHeight="1" x14ac:dyDescent="0.3">
      <c r="B27" s="227" t="s">
        <v>167</v>
      </c>
      <c r="C27" s="228"/>
    </row>
    <row r="28" spans="2:3" ht="21" customHeight="1" x14ac:dyDescent="0.3">
      <c r="B28" s="229"/>
      <c r="C28" s="230"/>
    </row>
  </sheetData>
  <sheetProtection selectLockedCells="1"/>
  <mergeCells count="1">
    <mergeCell ref="B27:C28"/>
  </mergeCells>
  <hyperlinks>
    <hyperlink ref="B3" r:id="rId1" xr:uid="{FE9E7AA6-4C79-499B-8D27-DF0DD3838892}"/>
    <hyperlink ref="B2" r:id="rId2" xr:uid="{DCC07A34-1862-4378-9519-C145B1DF9500}"/>
  </hyperlinks>
  <pageMargins left="0.7" right="0.7" top="0.75" bottom="0.75" header="0.3" footer="0.3"/>
  <pageSetup paperSize="9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2:O29"/>
  <sheetViews>
    <sheetView workbookViewId="0">
      <selection activeCell="C4" sqref="C4"/>
    </sheetView>
  </sheetViews>
  <sheetFormatPr defaultColWidth="9.109375" defaultRowHeight="21" customHeight="1" x14ac:dyDescent="0.3"/>
  <cols>
    <col min="1" max="1" width="9.109375" style="1"/>
    <col min="2" max="2" width="52.109375" style="1" bestFit="1" customWidth="1"/>
    <col min="3" max="6" width="12.5546875" style="1" customWidth="1"/>
    <col min="7" max="7" width="5.6640625" style="1" customWidth="1"/>
    <col min="8" max="8" width="29.44140625" style="1" customWidth="1"/>
    <col min="9" max="9" width="9.109375" style="1"/>
    <col min="10" max="10" width="5.6640625" style="1" customWidth="1"/>
    <col min="11" max="11" width="29.44140625" style="1" bestFit="1" customWidth="1"/>
    <col min="12" max="16384" width="9.109375" style="1"/>
  </cols>
  <sheetData>
    <row r="2" spans="1:15" ht="21" customHeight="1" x14ac:dyDescent="0.3">
      <c r="B2" s="241" t="s">
        <v>76</v>
      </c>
      <c r="C2" s="241"/>
      <c r="D2" s="241"/>
      <c r="E2" s="241"/>
      <c r="F2" s="241"/>
    </row>
    <row r="3" spans="1:15" ht="21" customHeight="1" x14ac:dyDescent="0.3">
      <c r="B3" s="175" t="s">
        <v>292</v>
      </c>
      <c r="C3" s="46">
        <v>43922</v>
      </c>
    </row>
    <row r="4" spans="1:15" ht="21" customHeight="1" x14ac:dyDescent="0.3">
      <c r="B4" s="18" t="s">
        <v>155</v>
      </c>
      <c r="C4" s="23">
        <v>50</v>
      </c>
    </row>
    <row r="6" spans="1:15" ht="21" customHeight="1" x14ac:dyDescent="0.3">
      <c r="A6" s="33"/>
      <c r="B6" s="33"/>
      <c r="C6" s="195" t="s">
        <v>5</v>
      </c>
      <c r="D6" s="195" t="s">
        <v>6</v>
      </c>
      <c r="E6" s="195" t="s">
        <v>7</v>
      </c>
      <c r="F6" s="195" t="s">
        <v>16</v>
      </c>
      <c r="I6" s="33"/>
      <c r="J6" s="33"/>
      <c r="K6" s="33"/>
      <c r="L6" s="33"/>
      <c r="M6" s="33"/>
      <c r="N6" s="33"/>
      <c r="O6" s="33"/>
    </row>
    <row r="7" spans="1:15" ht="21" customHeight="1" x14ac:dyDescent="0.3">
      <c r="B7" s="18" t="s">
        <v>154</v>
      </c>
      <c r="C7" s="23">
        <v>5</v>
      </c>
      <c r="D7" s="23">
        <v>5</v>
      </c>
      <c r="E7" s="23">
        <v>5</v>
      </c>
      <c r="F7" s="23">
        <v>5</v>
      </c>
      <c r="H7" s="242" t="s">
        <v>320</v>
      </c>
      <c r="I7" s="242"/>
      <c r="J7" s="33"/>
      <c r="K7" s="33"/>
      <c r="L7" s="33"/>
      <c r="M7" s="33"/>
      <c r="N7" s="33"/>
      <c r="O7" s="33"/>
    </row>
    <row r="8" spans="1:15" ht="21" customHeight="1" x14ac:dyDescent="0.3">
      <c r="B8" s="18" t="s">
        <v>319</v>
      </c>
      <c r="C8" s="24">
        <v>0.5</v>
      </c>
      <c r="D8" s="24">
        <v>0.5</v>
      </c>
      <c r="E8" s="24">
        <v>0.5</v>
      </c>
      <c r="F8" s="24">
        <v>0.5</v>
      </c>
      <c r="H8" s="242"/>
      <c r="I8" s="242"/>
      <c r="J8" s="33"/>
      <c r="K8" s="33"/>
      <c r="L8" s="33"/>
      <c r="M8" s="33"/>
      <c r="N8" s="33"/>
      <c r="O8" s="33"/>
    </row>
    <row r="9" spans="1:15" ht="21" customHeight="1" x14ac:dyDescent="0.3">
      <c r="B9" s="18" t="s">
        <v>318</v>
      </c>
      <c r="C9" s="103">
        <f>IFERROR(#REF!*C8,0)</f>
        <v>0</v>
      </c>
      <c r="D9" s="103">
        <f>IFERROR(#REF!*D8,0)</f>
        <v>0</v>
      </c>
      <c r="E9" s="103">
        <f>IFERROR(#REF!*E8,0)</f>
        <v>0</v>
      </c>
      <c r="F9" s="103">
        <f>IFERROR(#REF!*F8,0)</f>
        <v>0</v>
      </c>
      <c r="H9" s="242"/>
      <c r="I9" s="242"/>
    </row>
    <row r="10" spans="1:15" ht="21" customHeight="1" x14ac:dyDescent="0.3">
      <c r="B10" s="18" t="s">
        <v>188</v>
      </c>
      <c r="C10" s="104">
        <f>C7*C9*60</f>
        <v>0</v>
      </c>
      <c r="D10" s="104">
        <f>D7*D9*60</f>
        <v>0</v>
      </c>
      <c r="E10" s="104">
        <f>E7*E9*60</f>
        <v>0</v>
      </c>
      <c r="F10" s="104">
        <f>F7*F9*60</f>
        <v>0</v>
      </c>
    </row>
    <row r="12" spans="1:15" ht="21" customHeight="1" x14ac:dyDescent="0.3">
      <c r="B12" s="111" t="s">
        <v>43</v>
      </c>
    </row>
    <row r="13" spans="1:15" ht="21" customHeight="1" x14ac:dyDescent="0.3">
      <c r="B13" s="30" t="s">
        <v>28</v>
      </c>
      <c r="C13" s="31" t="s">
        <v>29</v>
      </c>
      <c r="E13" s="196"/>
    </row>
    <row r="14" spans="1:15" ht="21" customHeight="1" x14ac:dyDescent="0.3">
      <c r="B14" s="44"/>
      <c r="C14" s="27"/>
    </row>
    <row r="15" spans="1:15" ht="21" customHeight="1" x14ac:dyDescent="0.3">
      <c r="B15" s="44"/>
      <c r="C15" s="27"/>
    </row>
    <row r="16" spans="1:15" ht="21" customHeight="1" x14ac:dyDescent="0.3">
      <c r="B16" s="44"/>
      <c r="C16" s="27"/>
    </row>
    <row r="17" spans="2:3" ht="21" customHeight="1" x14ac:dyDescent="0.3">
      <c r="B17" s="45"/>
    </row>
    <row r="18" spans="2:3" ht="21" customHeight="1" x14ac:dyDescent="0.3">
      <c r="B18" s="18" t="s">
        <v>150</v>
      </c>
      <c r="C18" s="19">
        <f>SUM(C14:C17)</f>
        <v>0</v>
      </c>
    </row>
    <row r="20" spans="2:3" ht="21" customHeight="1" x14ac:dyDescent="0.3">
      <c r="B20" s="111" t="s">
        <v>44</v>
      </c>
      <c r="C20" s="5"/>
    </row>
    <row r="21" spans="2:3" ht="21" customHeight="1" x14ac:dyDescent="0.3">
      <c r="B21" s="30" t="s">
        <v>28</v>
      </c>
      <c r="C21" s="31" t="s">
        <v>29</v>
      </c>
    </row>
    <row r="22" spans="2:3" ht="21" customHeight="1" x14ac:dyDescent="0.3">
      <c r="B22" s="18" t="s">
        <v>156</v>
      </c>
      <c r="C22" s="121">
        <f>IFERROR(('Master Data'!O22/(GP_FTE*40*52))*C7*C4,0)</f>
        <v>1201.9230769230769</v>
      </c>
    </row>
    <row r="23" spans="2:3" ht="21" customHeight="1" x14ac:dyDescent="0.3">
      <c r="B23" s="44"/>
      <c r="C23" s="27"/>
    </row>
    <row r="24" spans="2:3" ht="21" customHeight="1" x14ac:dyDescent="0.3">
      <c r="B24" s="44"/>
      <c r="C24" s="27"/>
    </row>
    <row r="25" spans="2:3" ht="21" customHeight="1" x14ac:dyDescent="0.3">
      <c r="B25" s="45"/>
    </row>
    <row r="26" spans="2:3" ht="21" customHeight="1" x14ac:dyDescent="0.3">
      <c r="B26" s="38" t="s">
        <v>26</v>
      </c>
      <c r="C26" s="19">
        <f>SUM(C22:C25)</f>
        <v>1201.9230769230769</v>
      </c>
    </row>
    <row r="28" spans="2:3" ht="21" customHeight="1" x14ac:dyDescent="0.3">
      <c r="B28" s="227" t="s">
        <v>167</v>
      </c>
      <c r="C28" s="228"/>
    </row>
    <row r="29" spans="2:3" ht="21" customHeight="1" x14ac:dyDescent="0.3">
      <c r="B29" s="229"/>
      <c r="C29" s="230"/>
    </row>
  </sheetData>
  <sheetProtection selectLockedCells="1"/>
  <mergeCells count="3">
    <mergeCell ref="B28:C29"/>
    <mergeCell ref="B2:F2"/>
    <mergeCell ref="H7:I9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X24"/>
  <sheetViews>
    <sheetView workbookViewId="0">
      <selection activeCell="G4" sqref="G4"/>
    </sheetView>
  </sheetViews>
  <sheetFormatPr defaultColWidth="9.109375" defaultRowHeight="21" customHeight="1" x14ac:dyDescent="0.3"/>
  <cols>
    <col min="1" max="1" width="9.109375" style="1"/>
    <col min="2" max="2" width="52.5546875" style="1" bestFit="1" customWidth="1"/>
    <col min="3" max="3" width="12.5546875" style="1" customWidth="1"/>
    <col min="4" max="4" width="11.6640625" style="1" customWidth="1"/>
    <col min="5" max="5" width="18.109375" style="1" customWidth="1"/>
    <col min="6" max="6" width="5.6640625" style="1" customWidth="1"/>
    <col min="7" max="7" width="48" style="1" customWidth="1"/>
    <col min="8" max="8" width="18.5546875" style="1" customWidth="1"/>
    <col min="9" max="9" width="5.6640625" style="1" customWidth="1"/>
    <col min="10" max="16384" width="9.109375" style="1"/>
  </cols>
  <sheetData>
    <row r="3" spans="1:24" ht="21" customHeight="1" x14ac:dyDescent="0.3">
      <c r="B3" s="243" t="s">
        <v>246</v>
      </c>
      <c r="C3" s="209"/>
      <c r="D3" s="209"/>
      <c r="E3" s="209"/>
      <c r="G3" s="243" t="s">
        <v>247</v>
      </c>
      <c r="H3" s="209"/>
      <c r="I3" s="209"/>
    </row>
    <row r="5" spans="1:24" ht="21" customHeight="1" x14ac:dyDescent="0.3">
      <c r="B5" s="133" t="s">
        <v>211</v>
      </c>
      <c r="G5" s="122" t="s">
        <v>43</v>
      </c>
    </row>
    <row r="6" spans="1:24" ht="21" customHeight="1" x14ac:dyDescent="0.3">
      <c r="A6" s="33"/>
      <c r="B6" s="127" t="s">
        <v>190</v>
      </c>
      <c r="C6" s="139" t="s">
        <v>5</v>
      </c>
      <c r="D6" s="139" t="s">
        <v>6</v>
      </c>
      <c r="G6" s="30" t="s">
        <v>28</v>
      </c>
      <c r="H6" s="31" t="s">
        <v>29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21" customHeight="1" x14ac:dyDescent="0.3">
      <c r="B7" s="44"/>
      <c r="C7" s="27"/>
      <c r="D7" s="27"/>
      <c r="F7" s="33"/>
      <c r="G7" s="44"/>
      <c r="H7" s="27"/>
    </row>
    <row r="8" spans="1:24" ht="21" customHeight="1" x14ac:dyDescent="0.3">
      <c r="B8" s="44"/>
      <c r="C8" s="27"/>
      <c r="D8" s="27"/>
      <c r="G8" s="44"/>
      <c r="H8" s="27"/>
    </row>
    <row r="9" spans="1:24" ht="21" customHeight="1" x14ac:dyDescent="0.3">
      <c r="B9" s="44"/>
      <c r="C9" s="27"/>
      <c r="D9" s="27"/>
      <c r="G9" s="44"/>
      <c r="H9" s="27"/>
    </row>
    <row r="10" spans="1:24" ht="21" customHeight="1" x14ac:dyDescent="0.3">
      <c r="B10" s="44"/>
      <c r="C10" s="27"/>
      <c r="D10" s="27"/>
      <c r="G10" s="45"/>
    </row>
    <row r="11" spans="1:24" ht="21" customHeight="1" x14ac:dyDescent="0.3">
      <c r="B11" s="105" t="s">
        <v>209</v>
      </c>
      <c r="C11" s="141">
        <f>SUM(C7:C10)</f>
        <v>0</v>
      </c>
      <c r="D11" s="141">
        <f>SUM(D7:D10)</f>
        <v>0</v>
      </c>
      <c r="G11" s="18" t="s">
        <v>150</v>
      </c>
      <c r="H11" s="19">
        <f>SUM(H7:H10)</f>
        <v>0</v>
      </c>
    </row>
    <row r="12" spans="1:24" ht="21" customHeight="1" x14ac:dyDescent="0.3">
      <c r="B12" s="97" t="s">
        <v>157</v>
      </c>
      <c r="C12" s="140">
        <f>C11*60/GP_Consult_Length</f>
        <v>0</v>
      </c>
      <c r="D12" s="140">
        <f>D11*60/Nurse_Consult_Length</f>
        <v>0</v>
      </c>
    </row>
    <row r="13" spans="1:24" ht="21" customHeight="1" x14ac:dyDescent="0.3">
      <c r="B13" s="97" t="s">
        <v>158</v>
      </c>
      <c r="C13" s="19">
        <f>-C12*Average_GP_Revenue</f>
        <v>0</v>
      </c>
      <c r="D13" s="19">
        <f>-D12*Average_Nurse_Revenue</f>
        <v>0</v>
      </c>
      <c r="G13" s="122" t="s">
        <v>44</v>
      </c>
      <c r="H13" s="5"/>
    </row>
    <row r="14" spans="1:24" ht="21" customHeight="1" x14ac:dyDescent="0.3">
      <c r="G14" s="30" t="s">
        <v>28</v>
      </c>
      <c r="H14" s="31" t="s">
        <v>29</v>
      </c>
    </row>
    <row r="15" spans="1:24" ht="21" customHeight="1" x14ac:dyDescent="0.3">
      <c r="G15" s="44"/>
      <c r="H15" s="27"/>
    </row>
    <row r="16" spans="1:24" ht="21" customHeight="1" x14ac:dyDescent="0.3">
      <c r="B16" s="133" t="s">
        <v>210</v>
      </c>
      <c r="G16" s="44"/>
      <c r="H16" s="27"/>
    </row>
    <row r="17" spans="2:8" ht="21" customHeight="1" x14ac:dyDescent="0.3">
      <c r="B17" s="127" t="s">
        <v>190</v>
      </c>
      <c r="C17" s="139" t="s">
        <v>5</v>
      </c>
      <c r="D17" s="139" t="s">
        <v>6</v>
      </c>
      <c r="G17" s="44"/>
      <c r="H17" s="27"/>
    </row>
    <row r="18" spans="2:8" ht="21" customHeight="1" x14ac:dyDescent="0.3">
      <c r="B18" s="44" t="s">
        <v>212</v>
      </c>
      <c r="C18" s="27">
        <f>GP_FTE*2</f>
        <v>14.2</v>
      </c>
      <c r="D18" s="27">
        <f>Nurse_FTE*2</f>
        <v>12.4</v>
      </c>
    </row>
    <row r="19" spans="2:8" ht="21" customHeight="1" x14ac:dyDescent="0.3">
      <c r="B19" s="44"/>
      <c r="C19" s="27"/>
      <c r="D19" s="27"/>
      <c r="G19" s="18" t="s">
        <v>191</v>
      </c>
      <c r="H19" s="19">
        <f>SUM(H15:H18)</f>
        <v>0</v>
      </c>
    </row>
    <row r="20" spans="2:8" ht="21" customHeight="1" x14ac:dyDescent="0.3">
      <c r="B20" s="44"/>
      <c r="C20" s="27"/>
      <c r="D20" s="27"/>
    </row>
    <row r="21" spans="2:8" ht="21" customHeight="1" x14ac:dyDescent="0.3">
      <c r="B21" s="44"/>
      <c r="C21" s="27"/>
      <c r="D21" s="27"/>
    </row>
    <row r="22" spans="2:8" ht="21" customHeight="1" x14ac:dyDescent="0.3">
      <c r="B22" s="132" t="s">
        <v>209</v>
      </c>
      <c r="C22" s="141">
        <f>SUM(C18:C21)</f>
        <v>14.2</v>
      </c>
      <c r="D22" s="141">
        <f>SUM(D18:D21)</f>
        <v>12.4</v>
      </c>
    </row>
    <row r="23" spans="2:8" ht="21" customHeight="1" x14ac:dyDescent="0.3">
      <c r="B23" s="132" t="s">
        <v>157</v>
      </c>
      <c r="C23" s="140">
        <f>C22*60/GP_Consult_Length</f>
        <v>56.8</v>
      </c>
      <c r="D23" s="140">
        <f>D22*60/Nurse_Consult_Length</f>
        <v>49.6</v>
      </c>
    </row>
    <row r="24" spans="2:8" ht="21" customHeight="1" x14ac:dyDescent="0.3">
      <c r="B24" s="132" t="s">
        <v>158</v>
      </c>
      <c r="C24" s="19">
        <f>-C23*Average_GP_Revenue</f>
        <v>-681.59999999999991</v>
      </c>
      <c r="D24" s="19">
        <f>-D23*Average_Nurse_Revenue</f>
        <v>-49.6</v>
      </c>
    </row>
  </sheetData>
  <sheetProtection selectLockedCells="1"/>
  <mergeCells count="2">
    <mergeCell ref="B3:E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B2:BH16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F39" sqref="BF39"/>
    </sheetView>
  </sheetViews>
  <sheetFormatPr defaultColWidth="9.109375" defaultRowHeight="21" customHeight="1" x14ac:dyDescent="0.3"/>
  <cols>
    <col min="1" max="1" width="9.109375" style="49"/>
    <col min="2" max="2" width="56" style="56" bestFit="1" customWidth="1"/>
    <col min="3" max="3" width="10.6640625" style="57" bestFit="1" customWidth="1"/>
    <col min="4" max="4" width="12" style="57" bestFit="1" customWidth="1"/>
    <col min="5" max="5" width="23.88671875" style="57" customWidth="1"/>
    <col min="6" max="6" width="15.88671875" style="49" bestFit="1" customWidth="1"/>
    <col min="7" max="7" width="16.33203125" style="49" customWidth="1"/>
    <col min="8" max="55" width="13.44140625" style="49" customWidth="1"/>
    <col min="56" max="56" width="9.109375" style="49"/>
    <col min="57" max="60" width="16.5546875" style="49" customWidth="1"/>
    <col min="61" max="16384" width="9.109375" style="49"/>
  </cols>
  <sheetData>
    <row r="2" spans="2:60" s="57" customFormat="1" ht="21" customHeight="1" x14ac:dyDescent="0.3">
      <c r="B2" s="63" t="s">
        <v>41</v>
      </c>
      <c r="H2" s="70">
        <f>IF(MONTH(H4)&lt;4,YEAR(H4),YEAR(H4)+1)</f>
        <v>2020</v>
      </c>
      <c r="I2" s="70">
        <f>IF(MONTH(I4)&lt;4,YEAR(I4),YEAR(I4)+1)</f>
        <v>2020</v>
      </c>
      <c r="J2" s="70">
        <f t="shared" ref="J2:T2" si="0">IF(MONTH(J4)&lt;4,YEAR(J4),YEAR(J4)+1)</f>
        <v>2020</v>
      </c>
      <c r="K2" s="70">
        <f t="shared" si="0"/>
        <v>2020</v>
      </c>
      <c r="L2" s="70">
        <f t="shared" si="0"/>
        <v>2020</v>
      </c>
      <c r="M2" s="70">
        <f t="shared" si="0"/>
        <v>2020</v>
      </c>
      <c r="N2" s="70">
        <f t="shared" si="0"/>
        <v>2020</v>
      </c>
      <c r="O2" s="70">
        <f t="shared" si="0"/>
        <v>2020</v>
      </c>
      <c r="P2" s="70">
        <f t="shared" si="0"/>
        <v>2020</v>
      </c>
      <c r="Q2" s="70">
        <f t="shared" si="0"/>
        <v>2020</v>
      </c>
      <c r="R2" s="70">
        <f t="shared" si="0"/>
        <v>2020</v>
      </c>
      <c r="S2" s="70">
        <f t="shared" si="0"/>
        <v>2020</v>
      </c>
      <c r="T2" s="70">
        <f t="shared" si="0"/>
        <v>2021</v>
      </c>
      <c r="U2" s="70">
        <f t="shared" ref="U2:AQ2" si="1">IF(MONTH(U4)&lt;4,YEAR(U4),YEAR(U4)+1)</f>
        <v>2021</v>
      </c>
      <c r="V2" s="70">
        <f t="shared" si="1"/>
        <v>2021</v>
      </c>
      <c r="W2" s="70">
        <f t="shared" si="1"/>
        <v>2021</v>
      </c>
      <c r="X2" s="70">
        <f t="shared" si="1"/>
        <v>2021</v>
      </c>
      <c r="Y2" s="70">
        <f t="shared" si="1"/>
        <v>2021</v>
      </c>
      <c r="Z2" s="70">
        <f t="shared" si="1"/>
        <v>2021</v>
      </c>
      <c r="AA2" s="70">
        <f t="shared" si="1"/>
        <v>2021</v>
      </c>
      <c r="AB2" s="70">
        <f t="shared" si="1"/>
        <v>2021</v>
      </c>
      <c r="AC2" s="70">
        <f t="shared" si="1"/>
        <v>2021</v>
      </c>
      <c r="AD2" s="70">
        <f t="shared" si="1"/>
        <v>2021</v>
      </c>
      <c r="AE2" s="70">
        <f t="shared" si="1"/>
        <v>2021</v>
      </c>
      <c r="AF2" s="70">
        <f t="shared" si="1"/>
        <v>2022</v>
      </c>
      <c r="AG2" s="70">
        <f t="shared" si="1"/>
        <v>2022</v>
      </c>
      <c r="AH2" s="70">
        <f t="shared" si="1"/>
        <v>2022</v>
      </c>
      <c r="AI2" s="70">
        <f t="shared" si="1"/>
        <v>2022</v>
      </c>
      <c r="AJ2" s="70">
        <f t="shared" si="1"/>
        <v>2022</v>
      </c>
      <c r="AK2" s="70">
        <f t="shared" si="1"/>
        <v>2022</v>
      </c>
      <c r="AL2" s="70">
        <f t="shared" si="1"/>
        <v>2022</v>
      </c>
      <c r="AM2" s="70">
        <f t="shared" si="1"/>
        <v>2022</v>
      </c>
      <c r="AN2" s="70">
        <f t="shared" si="1"/>
        <v>2022</v>
      </c>
      <c r="AO2" s="70">
        <f t="shared" si="1"/>
        <v>2022</v>
      </c>
      <c r="AP2" s="70">
        <f t="shared" si="1"/>
        <v>2022</v>
      </c>
      <c r="AQ2" s="70">
        <f t="shared" si="1"/>
        <v>2022</v>
      </c>
      <c r="AR2" s="70">
        <f t="shared" ref="AR2:BB2" si="2">IF(MONTH(AR4)&lt;4,YEAR(AR4),YEAR(AR4)+1)</f>
        <v>2023</v>
      </c>
      <c r="AS2" s="70">
        <f t="shared" si="2"/>
        <v>2023</v>
      </c>
      <c r="AT2" s="70">
        <f t="shared" si="2"/>
        <v>2023</v>
      </c>
      <c r="AU2" s="70">
        <f t="shared" si="2"/>
        <v>2023</v>
      </c>
      <c r="AV2" s="70">
        <f t="shared" si="2"/>
        <v>2023</v>
      </c>
      <c r="AW2" s="70">
        <f t="shared" si="2"/>
        <v>2023</v>
      </c>
      <c r="AX2" s="70">
        <f t="shared" si="2"/>
        <v>2023</v>
      </c>
      <c r="AY2" s="70">
        <f t="shared" si="2"/>
        <v>2023</v>
      </c>
      <c r="AZ2" s="70">
        <f t="shared" si="2"/>
        <v>2023</v>
      </c>
      <c r="BA2" s="70">
        <f t="shared" si="2"/>
        <v>2023</v>
      </c>
      <c r="BB2" s="70">
        <f t="shared" si="2"/>
        <v>2023</v>
      </c>
      <c r="BC2" s="70">
        <f>IF(MONTH(BC4)&lt;4,YEAR(BC4),YEAR(BC4)+1)</f>
        <v>2023</v>
      </c>
      <c r="BE2" s="209" t="s">
        <v>198</v>
      </c>
      <c r="BF2" s="209"/>
      <c r="BG2" s="209"/>
      <c r="BH2" s="209"/>
    </row>
    <row r="3" spans="2:60" s="57" customFormat="1" ht="21" customHeight="1" x14ac:dyDescent="0.3">
      <c r="B3" s="63" t="s">
        <v>250</v>
      </c>
      <c r="F3" s="162"/>
      <c r="H3" s="71">
        <f>ROUNDUP(COUNT($H$4:H$4)/12,0)</f>
        <v>1</v>
      </c>
      <c r="I3" s="71">
        <f>ROUNDUP(COUNT($H$4:I$4)/12,0)</f>
        <v>1</v>
      </c>
      <c r="J3" s="71">
        <f>ROUNDUP(COUNT($H$4:J$4)/12,0)</f>
        <v>1</v>
      </c>
      <c r="K3" s="71">
        <f>ROUNDUP(COUNT($H$4:K$4)/12,0)</f>
        <v>1</v>
      </c>
      <c r="L3" s="71">
        <f>ROUNDUP(COUNT($H$4:L$4)/12,0)</f>
        <v>1</v>
      </c>
      <c r="M3" s="71">
        <f>ROUNDUP(COUNT($H$4:M$4)/12,0)</f>
        <v>1</v>
      </c>
      <c r="N3" s="71">
        <f>ROUNDUP(COUNT($H$4:N$4)/12,0)</f>
        <v>1</v>
      </c>
      <c r="O3" s="71">
        <f>ROUNDUP(COUNT($H$4:O$4)/12,0)</f>
        <v>1</v>
      </c>
      <c r="P3" s="71">
        <f>ROUNDUP(COUNT($H$4:P$4)/12,0)</f>
        <v>1</v>
      </c>
      <c r="Q3" s="71">
        <f>ROUNDUP(COUNT($H$4:Q$4)/12,0)</f>
        <v>1</v>
      </c>
      <c r="R3" s="71">
        <f>ROUNDUP(COUNT($H$4:R$4)/12,0)</f>
        <v>1</v>
      </c>
      <c r="S3" s="71">
        <f>ROUNDUP(COUNT($H$4:S$4)/12,0)</f>
        <v>1</v>
      </c>
      <c r="T3" s="71">
        <f>ROUNDUP(COUNT($H$4:T$4)/12,0)</f>
        <v>2</v>
      </c>
      <c r="U3" s="71">
        <f>ROUNDUP(COUNT($H$4:U$4)/12,0)</f>
        <v>2</v>
      </c>
      <c r="V3" s="71">
        <f>ROUNDUP(COUNT($H$4:V$4)/12,0)</f>
        <v>2</v>
      </c>
      <c r="W3" s="71">
        <f>ROUNDUP(COUNT($H$4:W$4)/12,0)</f>
        <v>2</v>
      </c>
      <c r="X3" s="71">
        <f>ROUNDUP(COUNT($H$4:X$4)/12,0)</f>
        <v>2</v>
      </c>
      <c r="Y3" s="71">
        <f>ROUNDUP(COUNT($H$4:Y$4)/12,0)</f>
        <v>2</v>
      </c>
      <c r="Z3" s="71">
        <f>ROUNDUP(COUNT($H$4:Z$4)/12,0)</f>
        <v>2</v>
      </c>
      <c r="AA3" s="71">
        <f>ROUNDUP(COUNT($H$4:AA$4)/12,0)</f>
        <v>2</v>
      </c>
      <c r="AB3" s="71">
        <f>ROUNDUP(COUNT($H$4:AB$4)/12,0)</f>
        <v>2</v>
      </c>
      <c r="AC3" s="71">
        <f>ROUNDUP(COUNT($H$4:AC$4)/12,0)</f>
        <v>2</v>
      </c>
      <c r="AD3" s="71">
        <f>ROUNDUP(COUNT($H$4:AD$4)/12,0)</f>
        <v>2</v>
      </c>
      <c r="AE3" s="71">
        <f>ROUNDUP(COUNT($H$4:AE$4)/12,0)</f>
        <v>2</v>
      </c>
      <c r="AF3" s="71">
        <f>ROUNDUP(COUNT($H$4:AF$4)/12,0)</f>
        <v>3</v>
      </c>
      <c r="AG3" s="71">
        <f>ROUNDUP(COUNT($H$4:AG$4)/12,0)</f>
        <v>3</v>
      </c>
      <c r="AH3" s="71">
        <f>ROUNDUP(COUNT($H$4:AH$4)/12,0)</f>
        <v>3</v>
      </c>
      <c r="AI3" s="71">
        <f>ROUNDUP(COUNT($H$4:AI$4)/12,0)</f>
        <v>3</v>
      </c>
      <c r="AJ3" s="71">
        <f>ROUNDUP(COUNT($H$4:AJ$4)/12,0)</f>
        <v>3</v>
      </c>
      <c r="AK3" s="71">
        <f>ROUNDUP(COUNT($H$4:AK$4)/12,0)</f>
        <v>3</v>
      </c>
      <c r="AL3" s="71">
        <f>ROUNDUP(COUNT($H$4:AL$4)/12,0)</f>
        <v>3</v>
      </c>
      <c r="AM3" s="71">
        <f>ROUNDUP(COUNT($H$4:AM$4)/12,0)</f>
        <v>3</v>
      </c>
      <c r="AN3" s="71">
        <f>ROUNDUP(COUNT($H$4:AN$4)/12,0)</f>
        <v>3</v>
      </c>
      <c r="AO3" s="71">
        <f>ROUNDUP(COUNT($H$4:AO$4)/12,0)</f>
        <v>3</v>
      </c>
      <c r="AP3" s="71">
        <f>ROUNDUP(COUNT($H$4:AP$4)/12,0)</f>
        <v>3</v>
      </c>
      <c r="AQ3" s="71">
        <f>ROUNDUP(COUNT($H$4:AQ$4)/12,0)</f>
        <v>3</v>
      </c>
      <c r="AR3" s="71">
        <f>ROUNDUP(COUNT($H$4:AR$4)/12,0)</f>
        <v>4</v>
      </c>
      <c r="AS3" s="71">
        <f>ROUNDUP(COUNT($H$4:AS$4)/12,0)</f>
        <v>4</v>
      </c>
      <c r="AT3" s="71">
        <f>ROUNDUP(COUNT($H$4:AT$4)/12,0)</f>
        <v>4</v>
      </c>
      <c r="AU3" s="71">
        <f>ROUNDUP(COUNT($H$4:AU$4)/12,0)</f>
        <v>4</v>
      </c>
      <c r="AV3" s="71">
        <f>ROUNDUP(COUNT($H$4:AV$4)/12,0)</f>
        <v>4</v>
      </c>
      <c r="AW3" s="71">
        <f>ROUNDUP(COUNT($H$4:AW$4)/12,0)</f>
        <v>4</v>
      </c>
      <c r="AX3" s="71">
        <f>ROUNDUP(COUNT($H$4:AX$4)/12,0)</f>
        <v>4</v>
      </c>
      <c r="AY3" s="71">
        <f>ROUNDUP(COUNT($H$4:AY$4)/12,0)</f>
        <v>4</v>
      </c>
      <c r="AZ3" s="71">
        <f>ROUNDUP(COUNT($H$4:AZ$4)/12,0)</f>
        <v>4</v>
      </c>
      <c r="BA3" s="71">
        <f>ROUNDUP(COUNT($H$4:BA$4)/12,0)</f>
        <v>4</v>
      </c>
      <c r="BB3" s="71">
        <f>ROUNDUP(COUNT($H$4:BB$4)/12,0)</f>
        <v>4</v>
      </c>
      <c r="BC3" s="71">
        <f>ROUNDUP(COUNT($H$4:BC$4)/12,0)</f>
        <v>4</v>
      </c>
      <c r="BE3" s="89">
        <v>1</v>
      </c>
      <c r="BF3" s="89">
        <v>2</v>
      </c>
      <c r="BG3" s="89">
        <v>3</v>
      </c>
      <c r="BH3" s="89">
        <v>4</v>
      </c>
    </row>
    <row r="4" spans="2:60" s="57" customFormat="1" ht="21" customHeight="1" x14ac:dyDescent="0.3">
      <c r="B4" s="63" t="s">
        <v>42</v>
      </c>
      <c r="F4" s="162"/>
      <c r="H4" s="72">
        <f>EOMONTH('Master Data'!C4,0)</f>
        <v>43585</v>
      </c>
      <c r="I4" s="72">
        <f>EOMONTH(H4,1)</f>
        <v>43616</v>
      </c>
      <c r="J4" s="72">
        <f t="shared" ref="J4:AQ4" si="3">EOMONTH(I4,1)</f>
        <v>43646</v>
      </c>
      <c r="K4" s="72">
        <f t="shared" si="3"/>
        <v>43677</v>
      </c>
      <c r="L4" s="72">
        <f t="shared" si="3"/>
        <v>43708</v>
      </c>
      <c r="M4" s="72">
        <f t="shared" si="3"/>
        <v>43738</v>
      </c>
      <c r="N4" s="72">
        <f t="shared" si="3"/>
        <v>43769</v>
      </c>
      <c r="O4" s="72">
        <f t="shared" si="3"/>
        <v>43799</v>
      </c>
      <c r="P4" s="72">
        <f t="shared" si="3"/>
        <v>43830</v>
      </c>
      <c r="Q4" s="72">
        <f t="shared" si="3"/>
        <v>43861</v>
      </c>
      <c r="R4" s="72">
        <f t="shared" si="3"/>
        <v>43890</v>
      </c>
      <c r="S4" s="72">
        <f t="shared" si="3"/>
        <v>43921</v>
      </c>
      <c r="T4" s="72">
        <f t="shared" si="3"/>
        <v>43951</v>
      </c>
      <c r="U4" s="72">
        <f t="shared" si="3"/>
        <v>43982</v>
      </c>
      <c r="V4" s="72">
        <f t="shared" si="3"/>
        <v>44012</v>
      </c>
      <c r="W4" s="72">
        <f t="shared" si="3"/>
        <v>44043</v>
      </c>
      <c r="X4" s="72">
        <f t="shared" si="3"/>
        <v>44074</v>
      </c>
      <c r="Y4" s="72">
        <f t="shared" si="3"/>
        <v>44104</v>
      </c>
      <c r="Z4" s="72">
        <f t="shared" si="3"/>
        <v>44135</v>
      </c>
      <c r="AA4" s="72">
        <f t="shared" si="3"/>
        <v>44165</v>
      </c>
      <c r="AB4" s="72">
        <f t="shared" si="3"/>
        <v>44196</v>
      </c>
      <c r="AC4" s="72">
        <f t="shared" si="3"/>
        <v>44227</v>
      </c>
      <c r="AD4" s="72">
        <f t="shared" si="3"/>
        <v>44255</v>
      </c>
      <c r="AE4" s="72">
        <f t="shared" si="3"/>
        <v>44286</v>
      </c>
      <c r="AF4" s="72">
        <f t="shared" si="3"/>
        <v>44316</v>
      </c>
      <c r="AG4" s="72">
        <f t="shared" si="3"/>
        <v>44347</v>
      </c>
      <c r="AH4" s="72">
        <f t="shared" si="3"/>
        <v>44377</v>
      </c>
      <c r="AI4" s="72">
        <f t="shared" si="3"/>
        <v>44408</v>
      </c>
      <c r="AJ4" s="72">
        <f t="shared" si="3"/>
        <v>44439</v>
      </c>
      <c r="AK4" s="72">
        <f t="shared" si="3"/>
        <v>44469</v>
      </c>
      <c r="AL4" s="72">
        <f t="shared" si="3"/>
        <v>44500</v>
      </c>
      <c r="AM4" s="72">
        <f t="shared" si="3"/>
        <v>44530</v>
      </c>
      <c r="AN4" s="72">
        <f t="shared" si="3"/>
        <v>44561</v>
      </c>
      <c r="AO4" s="72">
        <f t="shared" si="3"/>
        <v>44592</v>
      </c>
      <c r="AP4" s="72">
        <f t="shared" si="3"/>
        <v>44620</v>
      </c>
      <c r="AQ4" s="72">
        <f t="shared" si="3"/>
        <v>44651</v>
      </c>
      <c r="AR4" s="72">
        <f t="shared" ref="AR4:BC4" si="4">EOMONTH(AQ4,1)</f>
        <v>44681</v>
      </c>
      <c r="AS4" s="72">
        <f t="shared" si="4"/>
        <v>44712</v>
      </c>
      <c r="AT4" s="72">
        <f t="shared" si="4"/>
        <v>44742</v>
      </c>
      <c r="AU4" s="72">
        <f t="shared" si="4"/>
        <v>44773</v>
      </c>
      <c r="AV4" s="72">
        <f t="shared" si="4"/>
        <v>44804</v>
      </c>
      <c r="AW4" s="72">
        <f t="shared" si="4"/>
        <v>44834</v>
      </c>
      <c r="AX4" s="72">
        <f t="shared" si="4"/>
        <v>44865</v>
      </c>
      <c r="AY4" s="72">
        <f t="shared" si="4"/>
        <v>44895</v>
      </c>
      <c r="AZ4" s="72">
        <f t="shared" si="4"/>
        <v>44926</v>
      </c>
      <c r="BA4" s="72">
        <f t="shared" si="4"/>
        <v>44957</v>
      </c>
      <c r="BB4" s="72">
        <f t="shared" si="4"/>
        <v>44985</v>
      </c>
      <c r="BC4" s="72">
        <f t="shared" si="4"/>
        <v>45016</v>
      </c>
      <c r="BE4" s="57" t="e">
        <f>Projection!BE55+Projection!BE77*#REF!+Projection!BE97*#REF!+Projection!BE117*#REF!+Projection!BE137*#REF!+Projection!BE157*#REF!</f>
        <v>#REF!</v>
      </c>
    </row>
    <row r="5" spans="2:60" s="57" customFormat="1" ht="21" customHeight="1" x14ac:dyDescent="0.3">
      <c r="B5" s="63" t="s">
        <v>335</v>
      </c>
      <c r="F5" s="162"/>
      <c r="H5" s="207">
        <f>IF(H4&lt;'Covid 19'!$C$6,0,IF(H4&lt;EOMONTH('Covid 19'!$C$6,'Covid 19'!$C$7),1,IF(H4&lt;EOMONTH('Covid 19'!$C$6,'Covid 19'!$C$7+'Covid 19'!$C$10),2,0)))</f>
        <v>0</v>
      </c>
      <c r="I5" s="207">
        <f>IF(I4&lt;'Covid 19'!$C$6,0,IF(I4&lt;EOMONTH('Covid 19'!$C$6,'Covid 19'!$C$7),1,IF(I4&lt;EOMONTH('Covid 19'!$C$6,'Covid 19'!$C$7+'Covid 19'!$C$10),2,0)))</f>
        <v>0</v>
      </c>
      <c r="J5" s="207">
        <f>IF(J4&lt;'Covid 19'!$C$6,0,IF(J4&lt;EOMONTH('Covid 19'!$C$6,'Covid 19'!$C$7),1,IF(J4&lt;EOMONTH('Covid 19'!$C$6,'Covid 19'!$C$7+'Covid 19'!$C$10),2,0)))</f>
        <v>0</v>
      </c>
      <c r="K5" s="207">
        <f>IF(K4&lt;'Covid 19'!$C$6,0,IF(K4&lt;EOMONTH('Covid 19'!$C$6,'Covid 19'!$C$7),1,IF(K4&lt;EOMONTH('Covid 19'!$C$6,'Covid 19'!$C$7+'Covid 19'!$C$10),2,0)))</f>
        <v>0</v>
      </c>
      <c r="L5" s="207">
        <f>IF(L4&lt;'Covid 19'!$C$6,0,IF(L4&lt;EOMONTH('Covid 19'!$C$6,'Covid 19'!$C$7),1,IF(L4&lt;EOMONTH('Covid 19'!$C$6,'Covid 19'!$C$7+'Covid 19'!$C$10),2,0)))</f>
        <v>0</v>
      </c>
      <c r="M5" s="207">
        <f>IF(M4&lt;'Covid 19'!$C$6,0,IF(M4&lt;EOMONTH('Covid 19'!$C$6,'Covid 19'!$C$7),1,IF(M4&lt;EOMONTH('Covid 19'!$C$6,'Covid 19'!$C$7+'Covid 19'!$C$10),2,0)))</f>
        <v>0</v>
      </c>
      <c r="N5" s="207">
        <f>IF(N4&lt;'Covid 19'!$C$6,0,IF(N4&lt;EOMONTH('Covid 19'!$C$6,'Covid 19'!$C$7),1,IF(N4&lt;EOMONTH('Covid 19'!$C$6,'Covid 19'!$C$7+'Covid 19'!$C$10),2,0)))</f>
        <v>0</v>
      </c>
      <c r="O5" s="207">
        <f>IF(O4&lt;'Covid 19'!$C$6,0,IF(O4&lt;EOMONTH('Covid 19'!$C$6,'Covid 19'!$C$7),1,IF(O4&lt;EOMONTH('Covid 19'!$C$6,'Covid 19'!$C$7+'Covid 19'!$C$10),2,0)))</f>
        <v>0</v>
      </c>
      <c r="P5" s="207">
        <f>IF(P4&lt;'Covid 19'!$C$6,0,IF(P4&lt;EOMONTH('Covid 19'!$C$6,'Covid 19'!$C$7),1,IF(P4&lt;EOMONTH('Covid 19'!$C$6,'Covid 19'!$C$7+'Covid 19'!$C$10),2,0)))</f>
        <v>0</v>
      </c>
      <c r="Q5" s="207">
        <f>IF(Q4&lt;'Covid 19'!$C$6,0,IF(Q4&lt;EOMONTH('Covid 19'!$C$6,'Covid 19'!$C$7),1,IF(Q4&lt;EOMONTH('Covid 19'!$C$6,'Covid 19'!$C$7+'Covid 19'!$C$10),2,0)))</f>
        <v>0</v>
      </c>
      <c r="R5" s="207">
        <f>IF(R4&lt;'Covid 19'!$C$6,0,IF(R4&lt;EOMONTH('Covid 19'!$C$6,'Covid 19'!$C$7),1,IF(R4&lt;EOMONTH('Covid 19'!$C$6,'Covid 19'!$C$7+'Covid 19'!$C$10),2,0)))</f>
        <v>0</v>
      </c>
      <c r="S5" s="207">
        <f>IF(S4&lt;'Covid 19'!$C$6,0,IF(S4&lt;EOMONTH('Covid 19'!$C$6,'Covid 19'!$C$7),1,IF(S4&lt;EOMONTH('Covid 19'!$C$6,'Covid 19'!$C$7+'Covid 19'!$C$10),2,0)))</f>
        <v>1</v>
      </c>
      <c r="T5" s="207">
        <f>IF(T4&lt;'Covid 19'!$C$6,0,IF(T4&lt;EOMONTH('Covid 19'!$C$6,'Covid 19'!$C$7),1,IF(T4&lt;EOMONTH('Covid 19'!$C$6,'Covid 19'!$C$7+'Covid 19'!$C$10),2,0)))</f>
        <v>1</v>
      </c>
      <c r="U5" s="207">
        <f>IF(U4&lt;'Covid 19'!$C$6,0,IF(U4&lt;EOMONTH('Covid 19'!$C$6,'Covid 19'!$C$7),1,IF(U4&lt;EOMONTH('Covid 19'!$C$6,'Covid 19'!$C$7+'Covid 19'!$C$10),2,0)))</f>
        <v>1</v>
      </c>
      <c r="V5" s="207">
        <f>IF(V4&lt;'Covid 19'!$C$6,0,IF(V4&lt;EOMONTH('Covid 19'!$C$6,'Covid 19'!$C$7),1,IF(V4&lt;EOMONTH('Covid 19'!$C$6,'Covid 19'!$C$7+'Covid 19'!$C$10),2,0)))</f>
        <v>2</v>
      </c>
      <c r="W5" s="207">
        <f>IF(W4&lt;'Covid 19'!$C$6,0,IF(W4&lt;EOMONTH('Covid 19'!$C$6,'Covid 19'!$C$7),1,IF(W4&lt;EOMONTH('Covid 19'!$C$6,'Covid 19'!$C$7+'Covid 19'!$C$10),2,0)))</f>
        <v>2</v>
      </c>
      <c r="X5" s="207">
        <f>IF(X4&lt;'Covid 19'!$C$6,0,IF(X4&lt;EOMONTH('Covid 19'!$C$6,'Covid 19'!$C$7),1,IF(X4&lt;EOMONTH('Covid 19'!$C$6,'Covid 19'!$C$7+'Covid 19'!$C$10),2,0)))</f>
        <v>2</v>
      </c>
      <c r="Y5" s="207">
        <f>IF(Y4&lt;'Covid 19'!$C$6,0,IF(Y4&lt;EOMONTH('Covid 19'!$C$6,'Covid 19'!$C$7),1,IF(Y4&lt;EOMONTH('Covid 19'!$C$6,'Covid 19'!$C$7+'Covid 19'!$C$10),2,0)))</f>
        <v>2</v>
      </c>
      <c r="Z5" s="207">
        <f>IF(Z4&lt;'Covid 19'!$C$6,0,IF(Z4&lt;EOMONTH('Covid 19'!$C$6,'Covid 19'!$C$7),1,IF(Z4&lt;EOMONTH('Covid 19'!$C$6,'Covid 19'!$C$7+'Covid 19'!$C$10),2,0)))</f>
        <v>2</v>
      </c>
      <c r="AA5" s="207">
        <f>IF(AA4&lt;'Covid 19'!$C$6,0,IF(AA4&lt;EOMONTH('Covid 19'!$C$6,'Covid 19'!$C$7),1,IF(AA4&lt;EOMONTH('Covid 19'!$C$6,'Covid 19'!$C$7+'Covid 19'!$C$10),2,0)))</f>
        <v>2</v>
      </c>
      <c r="AB5" s="207">
        <f>IF(AB4&lt;'Covid 19'!$C$6,0,IF(AB4&lt;EOMONTH('Covid 19'!$C$6,'Covid 19'!$C$7),1,IF(AB4&lt;EOMONTH('Covid 19'!$C$6,'Covid 19'!$C$7+'Covid 19'!$C$10),2,0)))</f>
        <v>0</v>
      </c>
      <c r="AC5" s="207">
        <f>IF(AC4&lt;'Covid 19'!$C$6,0,IF(AC4&lt;EOMONTH('Covid 19'!$C$6,'Covid 19'!$C$7),1,IF(AC4&lt;EOMONTH('Covid 19'!$C$6,'Covid 19'!$C$7+'Covid 19'!$C$10),2,0)))</f>
        <v>0</v>
      </c>
      <c r="AD5" s="207">
        <f>IF(AD4&lt;'Covid 19'!$C$6,0,IF(AD4&lt;EOMONTH('Covid 19'!$C$6,'Covid 19'!$C$7),1,IF(AD4&lt;EOMONTH('Covid 19'!$C$6,'Covid 19'!$C$7+'Covid 19'!$C$10),2,0)))</f>
        <v>0</v>
      </c>
      <c r="AE5" s="207">
        <f>IF(AE4&lt;'Covid 19'!$C$6,0,IF(AE4&lt;EOMONTH('Covid 19'!$C$6,'Covid 19'!$C$7),1,IF(AE4&lt;EOMONTH('Covid 19'!$C$6,'Covid 19'!$C$7+'Covid 19'!$C$10),2,0)))</f>
        <v>0</v>
      </c>
      <c r="AF5" s="207">
        <f>IF(AF4&lt;'Covid 19'!$C$6,0,IF(AF4&lt;EOMONTH('Covid 19'!$C$6,'Covid 19'!$C$7),1,IF(AF4&lt;EOMONTH('Covid 19'!$C$6,'Covid 19'!$C$7+'Covid 19'!$C$10),2,0)))</f>
        <v>0</v>
      </c>
      <c r="AG5" s="207">
        <f>IF(AG4&lt;'Covid 19'!$C$6,0,IF(AG4&lt;EOMONTH('Covid 19'!$C$6,'Covid 19'!$C$7),1,IF(AG4&lt;EOMONTH('Covid 19'!$C$6,'Covid 19'!$C$7+'Covid 19'!$C$10),2,0)))</f>
        <v>0</v>
      </c>
      <c r="AH5" s="207">
        <f>IF(AH4&lt;'Covid 19'!$C$6,0,IF(AH4&lt;EOMONTH('Covid 19'!$C$6,'Covid 19'!$C$7),1,IF(AH4&lt;EOMONTH('Covid 19'!$C$6,'Covid 19'!$C$7+'Covid 19'!$C$10),2,0)))</f>
        <v>0</v>
      </c>
      <c r="AI5" s="207">
        <f>IF(AI4&lt;'Covid 19'!$C$6,0,IF(AI4&lt;EOMONTH('Covid 19'!$C$6,'Covid 19'!$C$7),1,IF(AI4&lt;EOMONTH('Covid 19'!$C$6,'Covid 19'!$C$7+'Covid 19'!$C$10),2,0)))</f>
        <v>0</v>
      </c>
      <c r="AJ5" s="207">
        <f>IF(AJ4&lt;'Covid 19'!$C$6,0,IF(AJ4&lt;EOMONTH('Covid 19'!$C$6,'Covid 19'!$C$7),1,IF(AJ4&lt;EOMONTH('Covid 19'!$C$6,'Covid 19'!$C$7+'Covid 19'!$C$10),2,0)))</f>
        <v>0</v>
      </c>
      <c r="AK5" s="207">
        <f>IF(AK4&lt;'Covid 19'!$C$6,0,IF(AK4&lt;EOMONTH('Covid 19'!$C$6,'Covid 19'!$C$7),1,IF(AK4&lt;EOMONTH('Covid 19'!$C$6,'Covid 19'!$C$7+'Covid 19'!$C$10),2,0)))</f>
        <v>0</v>
      </c>
      <c r="AL5" s="207">
        <f>IF(AL4&lt;'Covid 19'!$C$6,0,IF(AL4&lt;EOMONTH('Covid 19'!$C$6,'Covid 19'!$C$7),1,IF(AL4&lt;EOMONTH('Covid 19'!$C$6,'Covid 19'!$C$7+'Covid 19'!$C$10),2,0)))</f>
        <v>0</v>
      </c>
      <c r="AM5" s="207">
        <f>IF(AM4&lt;'Covid 19'!$C$6,0,IF(AM4&lt;EOMONTH('Covid 19'!$C$6,'Covid 19'!$C$7),1,IF(AM4&lt;EOMONTH('Covid 19'!$C$6,'Covid 19'!$C$7+'Covid 19'!$C$10),2,0)))</f>
        <v>0</v>
      </c>
      <c r="AN5" s="207">
        <f>IF(AN4&lt;'Covid 19'!$C$6,0,IF(AN4&lt;EOMONTH('Covid 19'!$C$6,'Covid 19'!$C$7),1,IF(AN4&lt;EOMONTH('Covid 19'!$C$6,'Covid 19'!$C$7+'Covid 19'!$C$10),2,0)))</f>
        <v>0</v>
      </c>
      <c r="AO5" s="207">
        <f>IF(AO4&lt;'Covid 19'!$C$6,0,IF(AO4&lt;EOMONTH('Covid 19'!$C$6,'Covid 19'!$C$7),1,IF(AO4&lt;EOMONTH('Covid 19'!$C$6,'Covid 19'!$C$7+'Covid 19'!$C$10),2,0)))</f>
        <v>0</v>
      </c>
      <c r="AP5" s="207">
        <f>IF(AP4&lt;'Covid 19'!$C$6,0,IF(AP4&lt;EOMONTH('Covid 19'!$C$6,'Covid 19'!$C$7),1,IF(AP4&lt;EOMONTH('Covid 19'!$C$6,'Covid 19'!$C$7+'Covid 19'!$C$10),2,0)))</f>
        <v>0</v>
      </c>
      <c r="AQ5" s="207">
        <f>IF(AQ4&lt;'Covid 19'!$C$6,0,IF(AQ4&lt;EOMONTH('Covid 19'!$C$6,'Covid 19'!$C$7),1,IF(AQ4&lt;EOMONTH('Covid 19'!$C$6,'Covid 19'!$C$7+'Covid 19'!$C$10),2,0)))</f>
        <v>0</v>
      </c>
      <c r="AR5" s="207">
        <f>IF(AR4&lt;'Covid 19'!$C$6,0,IF(AR4&lt;EOMONTH('Covid 19'!$C$6,'Covid 19'!$C$7),1,IF(AR4&lt;EOMONTH('Covid 19'!$C$6,'Covid 19'!$C$7+'Covid 19'!$C$10),2,0)))</f>
        <v>0</v>
      </c>
      <c r="AS5" s="207">
        <f>IF(AS4&lt;'Covid 19'!$C$6,0,IF(AS4&lt;EOMONTH('Covid 19'!$C$6,'Covid 19'!$C$7),1,IF(AS4&lt;EOMONTH('Covid 19'!$C$6,'Covid 19'!$C$7+'Covid 19'!$C$10),2,0)))</f>
        <v>0</v>
      </c>
      <c r="AT5" s="207">
        <f>IF(AT4&lt;'Covid 19'!$C$6,0,IF(AT4&lt;EOMONTH('Covid 19'!$C$6,'Covid 19'!$C$7),1,IF(AT4&lt;EOMONTH('Covid 19'!$C$6,'Covid 19'!$C$7+'Covid 19'!$C$10),2,0)))</f>
        <v>0</v>
      </c>
      <c r="AU5" s="207">
        <f>IF(AU4&lt;'Covid 19'!$C$6,0,IF(AU4&lt;EOMONTH('Covid 19'!$C$6,'Covid 19'!$C$7),1,IF(AU4&lt;EOMONTH('Covid 19'!$C$6,'Covid 19'!$C$7+'Covid 19'!$C$10),2,0)))</f>
        <v>0</v>
      </c>
      <c r="AV5" s="207">
        <f>IF(AV4&lt;'Covid 19'!$C$6,0,IF(AV4&lt;EOMONTH('Covid 19'!$C$6,'Covid 19'!$C$7),1,IF(AV4&lt;EOMONTH('Covid 19'!$C$6,'Covid 19'!$C$7+'Covid 19'!$C$10),2,0)))</f>
        <v>0</v>
      </c>
      <c r="AW5" s="207">
        <f>IF(AW4&lt;'Covid 19'!$C$6,0,IF(AW4&lt;EOMONTH('Covid 19'!$C$6,'Covid 19'!$C$7),1,IF(AW4&lt;EOMONTH('Covid 19'!$C$6,'Covid 19'!$C$7+'Covid 19'!$C$10),2,0)))</f>
        <v>0</v>
      </c>
      <c r="AX5" s="207">
        <f>IF(AX4&lt;'Covid 19'!$C$6,0,IF(AX4&lt;EOMONTH('Covid 19'!$C$6,'Covid 19'!$C$7),1,IF(AX4&lt;EOMONTH('Covid 19'!$C$6,'Covid 19'!$C$7+'Covid 19'!$C$10),2,0)))</f>
        <v>0</v>
      </c>
      <c r="AY5" s="207">
        <f>IF(AY4&lt;'Covid 19'!$C$6,0,IF(AY4&lt;EOMONTH('Covid 19'!$C$6,'Covid 19'!$C$7),1,IF(AY4&lt;EOMONTH('Covid 19'!$C$6,'Covid 19'!$C$7+'Covid 19'!$C$10),2,0)))</f>
        <v>0</v>
      </c>
      <c r="AZ5" s="207">
        <f>IF(AZ4&lt;'Covid 19'!$C$6,0,IF(AZ4&lt;EOMONTH('Covid 19'!$C$6,'Covid 19'!$C$7),1,IF(AZ4&lt;EOMONTH('Covid 19'!$C$6,'Covid 19'!$C$7+'Covid 19'!$C$10),2,0)))</f>
        <v>0</v>
      </c>
      <c r="BA5" s="207">
        <f>IF(BA4&lt;'Covid 19'!$C$6,0,IF(BA4&lt;EOMONTH('Covid 19'!$C$6,'Covid 19'!$C$7),1,IF(BA4&lt;EOMONTH('Covid 19'!$C$6,'Covid 19'!$C$7+'Covid 19'!$C$10),2,0)))</f>
        <v>0</v>
      </c>
      <c r="BB5" s="207">
        <f>IF(BB4&lt;'Covid 19'!$C$6,0,IF(BB4&lt;EOMONTH('Covid 19'!$C$6,'Covid 19'!$C$7),1,IF(BB4&lt;EOMONTH('Covid 19'!$C$6,'Covid 19'!$C$7+'Covid 19'!$C$10),2,0)))</f>
        <v>0</v>
      </c>
      <c r="BC5" s="207">
        <f>IF(BC4&lt;'Covid 19'!$C$6,0,IF(BC4&lt;EOMONTH('Covid 19'!$C$6,'Covid 19'!$C$7),1,IF(BC4&lt;EOMONTH('Covid 19'!$C$6,'Covid 19'!$C$7+'Covid 19'!$C$10),2,0)))</f>
        <v>0</v>
      </c>
    </row>
    <row r="6" spans="2:60" s="5" customFormat="1" ht="21" customHeight="1" x14ac:dyDescent="0.3">
      <c r="B6" s="167"/>
      <c r="F6" s="168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</row>
    <row r="7" spans="2:60" s="57" customFormat="1" ht="21" customHeight="1" x14ac:dyDescent="0.3">
      <c r="B7" s="166"/>
      <c r="C7" s="156" t="s">
        <v>37</v>
      </c>
      <c r="D7" s="156" t="s">
        <v>115</v>
      </c>
      <c r="E7" s="156" t="s">
        <v>38</v>
      </c>
      <c r="F7" s="156" t="s">
        <v>39</v>
      </c>
      <c r="G7" s="156" t="s">
        <v>215</v>
      </c>
      <c r="H7" s="59">
        <f>H$4</f>
        <v>43585</v>
      </c>
      <c r="I7" s="59">
        <f t="shared" ref="I7:BC7" si="5">I$4</f>
        <v>43616</v>
      </c>
      <c r="J7" s="59">
        <f t="shared" si="5"/>
        <v>43646</v>
      </c>
      <c r="K7" s="59">
        <f t="shared" si="5"/>
        <v>43677</v>
      </c>
      <c r="L7" s="59">
        <f t="shared" si="5"/>
        <v>43708</v>
      </c>
      <c r="M7" s="59">
        <f t="shared" si="5"/>
        <v>43738</v>
      </c>
      <c r="N7" s="59">
        <f t="shared" si="5"/>
        <v>43769</v>
      </c>
      <c r="O7" s="59">
        <f t="shared" si="5"/>
        <v>43799</v>
      </c>
      <c r="P7" s="59">
        <f t="shared" si="5"/>
        <v>43830</v>
      </c>
      <c r="Q7" s="59">
        <f t="shared" si="5"/>
        <v>43861</v>
      </c>
      <c r="R7" s="59">
        <f t="shared" si="5"/>
        <v>43890</v>
      </c>
      <c r="S7" s="59">
        <f t="shared" si="5"/>
        <v>43921</v>
      </c>
      <c r="T7" s="59">
        <f t="shared" si="5"/>
        <v>43951</v>
      </c>
      <c r="U7" s="59">
        <f t="shared" si="5"/>
        <v>43982</v>
      </c>
      <c r="V7" s="59">
        <f t="shared" si="5"/>
        <v>44012</v>
      </c>
      <c r="W7" s="59">
        <f t="shared" si="5"/>
        <v>44043</v>
      </c>
      <c r="X7" s="59">
        <f t="shared" si="5"/>
        <v>44074</v>
      </c>
      <c r="Y7" s="59">
        <f t="shared" si="5"/>
        <v>44104</v>
      </c>
      <c r="Z7" s="59">
        <f t="shared" si="5"/>
        <v>44135</v>
      </c>
      <c r="AA7" s="59">
        <f t="shared" si="5"/>
        <v>44165</v>
      </c>
      <c r="AB7" s="59">
        <f t="shared" si="5"/>
        <v>44196</v>
      </c>
      <c r="AC7" s="59">
        <f t="shared" si="5"/>
        <v>44227</v>
      </c>
      <c r="AD7" s="59">
        <f t="shared" si="5"/>
        <v>44255</v>
      </c>
      <c r="AE7" s="59">
        <f t="shared" si="5"/>
        <v>44286</v>
      </c>
      <c r="AF7" s="59">
        <f t="shared" si="5"/>
        <v>44316</v>
      </c>
      <c r="AG7" s="59">
        <f t="shared" si="5"/>
        <v>44347</v>
      </c>
      <c r="AH7" s="59">
        <f t="shared" si="5"/>
        <v>44377</v>
      </c>
      <c r="AI7" s="59">
        <f t="shared" si="5"/>
        <v>44408</v>
      </c>
      <c r="AJ7" s="59">
        <f t="shared" si="5"/>
        <v>44439</v>
      </c>
      <c r="AK7" s="59">
        <f t="shared" si="5"/>
        <v>44469</v>
      </c>
      <c r="AL7" s="59">
        <f t="shared" si="5"/>
        <v>44500</v>
      </c>
      <c r="AM7" s="59">
        <f t="shared" si="5"/>
        <v>44530</v>
      </c>
      <c r="AN7" s="59">
        <f t="shared" si="5"/>
        <v>44561</v>
      </c>
      <c r="AO7" s="59">
        <f t="shared" si="5"/>
        <v>44592</v>
      </c>
      <c r="AP7" s="59">
        <f t="shared" si="5"/>
        <v>44620</v>
      </c>
      <c r="AQ7" s="59">
        <f t="shared" si="5"/>
        <v>44651</v>
      </c>
      <c r="AR7" s="59">
        <f t="shared" si="5"/>
        <v>44681</v>
      </c>
      <c r="AS7" s="59">
        <f t="shared" si="5"/>
        <v>44712</v>
      </c>
      <c r="AT7" s="59">
        <f t="shared" si="5"/>
        <v>44742</v>
      </c>
      <c r="AU7" s="59">
        <f t="shared" si="5"/>
        <v>44773</v>
      </c>
      <c r="AV7" s="59">
        <f t="shared" si="5"/>
        <v>44804</v>
      </c>
      <c r="AW7" s="59">
        <f t="shared" si="5"/>
        <v>44834</v>
      </c>
      <c r="AX7" s="59">
        <f t="shared" si="5"/>
        <v>44865</v>
      </c>
      <c r="AY7" s="59">
        <f t="shared" si="5"/>
        <v>44895</v>
      </c>
      <c r="AZ7" s="59">
        <f t="shared" si="5"/>
        <v>44926</v>
      </c>
      <c r="BA7" s="59">
        <f t="shared" si="5"/>
        <v>44957</v>
      </c>
      <c r="BB7" s="59">
        <f t="shared" si="5"/>
        <v>44985</v>
      </c>
      <c r="BC7" s="59">
        <f t="shared" si="5"/>
        <v>45016</v>
      </c>
      <c r="BE7" s="71">
        <f>BE$3</f>
        <v>1</v>
      </c>
      <c r="BF7" s="71">
        <f>BF$3</f>
        <v>2</v>
      </c>
      <c r="BG7" s="71">
        <f>BG$3</f>
        <v>3</v>
      </c>
      <c r="BH7" s="71">
        <f>BH$3</f>
        <v>4</v>
      </c>
    </row>
    <row r="8" spans="2:60" s="57" customFormat="1" ht="21" customHeight="1" x14ac:dyDescent="0.3">
      <c r="B8" s="164" t="s">
        <v>65</v>
      </c>
      <c r="C8" s="48">
        <f>'Master Data'!$C$4</f>
        <v>43556</v>
      </c>
      <c r="D8" s="48"/>
      <c r="E8" s="47">
        <v>1</v>
      </c>
      <c r="F8" s="75">
        <f>Enrolled_patients</f>
        <v>10000</v>
      </c>
      <c r="G8" s="75"/>
      <c r="H8" s="75">
        <f>IFERROR(MIN(1,MAX(0,(EOMONTH(H$4,0)+1-$C8)/(EDATE($C8,$E8)-$C8)))*$F8+IF(H$3=1,$G8,0),0)</f>
        <v>10000</v>
      </c>
      <c r="I8" s="75">
        <f>IFERROR(MIN(1,MAX(0,(EOMONTH(I$4,0)+1-$C8)/(EDATE($C8,$E8)-$C8)))*$F8+IF(I$3=1,$G8,0),0)</f>
        <v>10000</v>
      </c>
      <c r="J8" s="75">
        <f t="shared" ref="J8:BC8" si="6">IFERROR(MIN(1,MAX(0,(EOMONTH(J$4,0)+1-$C8)/(EDATE($C8,$E8)-$C8)))*$F8+IF(J$3=1,$G8,0),0)</f>
        <v>10000</v>
      </c>
      <c r="K8" s="75">
        <f t="shared" si="6"/>
        <v>10000</v>
      </c>
      <c r="L8" s="75">
        <f t="shared" si="6"/>
        <v>10000</v>
      </c>
      <c r="M8" s="75">
        <f t="shared" si="6"/>
        <v>10000</v>
      </c>
      <c r="N8" s="75">
        <f t="shared" si="6"/>
        <v>10000</v>
      </c>
      <c r="O8" s="75">
        <f t="shared" si="6"/>
        <v>10000</v>
      </c>
      <c r="P8" s="75">
        <f t="shared" si="6"/>
        <v>10000</v>
      </c>
      <c r="Q8" s="75">
        <f t="shared" si="6"/>
        <v>10000</v>
      </c>
      <c r="R8" s="75">
        <f t="shared" si="6"/>
        <v>10000</v>
      </c>
      <c r="S8" s="75">
        <f t="shared" si="6"/>
        <v>10000</v>
      </c>
      <c r="T8" s="75">
        <f t="shared" si="6"/>
        <v>10000</v>
      </c>
      <c r="U8" s="75">
        <f t="shared" si="6"/>
        <v>10000</v>
      </c>
      <c r="V8" s="75">
        <f t="shared" si="6"/>
        <v>10000</v>
      </c>
      <c r="W8" s="75">
        <f t="shared" si="6"/>
        <v>10000</v>
      </c>
      <c r="X8" s="75">
        <f t="shared" si="6"/>
        <v>10000</v>
      </c>
      <c r="Y8" s="75">
        <f t="shared" si="6"/>
        <v>10000</v>
      </c>
      <c r="Z8" s="75">
        <f t="shared" si="6"/>
        <v>10000</v>
      </c>
      <c r="AA8" s="75">
        <f t="shared" si="6"/>
        <v>10000</v>
      </c>
      <c r="AB8" s="75">
        <f t="shared" si="6"/>
        <v>10000</v>
      </c>
      <c r="AC8" s="75">
        <f t="shared" si="6"/>
        <v>10000</v>
      </c>
      <c r="AD8" s="75">
        <f t="shared" si="6"/>
        <v>10000</v>
      </c>
      <c r="AE8" s="75">
        <f t="shared" si="6"/>
        <v>10000</v>
      </c>
      <c r="AF8" s="75">
        <f t="shared" si="6"/>
        <v>10000</v>
      </c>
      <c r="AG8" s="75">
        <f t="shared" si="6"/>
        <v>10000</v>
      </c>
      <c r="AH8" s="75">
        <f t="shared" si="6"/>
        <v>10000</v>
      </c>
      <c r="AI8" s="75">
        <f t="shared" si="6"/>
        <v>10000</v>
      </c>
      <c r="AJ8" s="75">
        <f t="shared" si="6"/>
        <v>10000</v>
      </c>
      <c r="AK8" s="75">
        <f t="shared" si="6"/>
        <v>10000</v>
      </c>
      <c r="AL8" s="75">
        <f t="shared" si="6"/>
        <v>10000</v>
      </c>
      <c r="AM8" s="75">
        <f t="shared" si="6"/>
        <v>10000</v>
      </c>
      <c r="AN8" s="75">
        <f t="shared" si="6"/>
        <v>10000</v>
      </c>
      <c r="AO8" s="75">
        <f t="shared" si="6"/>
        <v>10000</v>
      </c>
      <c r="AP8" s="75">
        <f t="shared" si="6"/>
        <v>10000</v>
      </c>
      <c r="AQ8" s="75">
        <f t="shared" si="6"/>
        <v>10000</v>
      </c>
      <c r="AR8" s="75">
        <f t="shared" si="6"/>
        <v>10000</v>
      </c>
      <c r="AS8" s="75">
        <f t="shared" si="6"/>
        <v>10000</v>
      </c>
      <c r="AT8" s="75">
        <f t="shared" si="6"/>
        <v>10000</v>
      </c>
      <c r="AU8" s="75">
        <f t="shared" si="6"/>
        <v>10000</v>
      </c>
      <c r="AV8" s="75">
        <f t="shared" si="6"/>
        <v>10000</v>
      </c>
      <c r="AW8" s="75">
        <f t="shared" si="6"/>
        <v>10000</v>
      </c>
      <c r="AX8" s="75">
        <f t="shared" si="6"/>
        <v>10000</v>
      </c>
      <c r="AY8" s="75">
        <f t="shared" si="6"/>
        <v>10000</v>
      </c>
      <c r="AZ8" s="75">
        <f t="shared" si="6"/>
        <v>10000</v>
      </c>
      <c r="BA8" s="75">
        <f t="shared" si="6"/>
        <v>10000</v>
      </c>
      <c r="BB8" s="75">
        <f t="shared" si="6"/>
        <v>10000</v>
      </c>
      <c r="BC8" s="75">
        <f t="shared" si="6"/>
        <v>10000</v>
      </c>
      <c r="BE8" s="75">
        <f t="shared" ref="BE8:BH16" si="7">SUMIF($H$3:$BD$3,BE$3,$H8:$BD8)</f>
        <v>120000</v>
      </c>
      <c r="BF8" s="75">
        <f t="shared" si="7"/>
        <v>120000</v>
      </c>
      <c r="BG8" s="75">
        <f t="shared" si="7"/>
        <v>120000</v>
      </c>
      <c r="BH8" s="75">
        <f t="shared" si="7"/>
        <v>120000</v>
      </c>
    </row>
    <row r="9" spans="2:60" s="57" customFormat="1" ht="21" customHeight="1" x14ac:dyDescent="0.3">
      <c r="B9" s="166" t="s">
        <v>255</v>
      </c>
      <c r="C9" s="48"/>
      <c r="D9" s="48"/>
      <c r="E9" s="47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E9" s="75">
        <f t="shared" si="7"/>
        <v>0</v>
      </c>
      <c r="BF9" s="75">
        <f t="shared" si="7"/>
        <v>0</v>
      </c>
      <c r="BG9" s="75">
        <f t="shared" si="7"/>
        <v>0</v>
      </c>
      <c r="BH9" s="75">
        <f t="shared" si="7"/>
        <v>0</v>
      </c>
    </row>
    <row r="10" spans="2:60" s="171" customFormat="1" ht="21" customHeight="1" x14ac:dyDescent="0.3">
      <c r="B10" s="172" t="s">
        <v>254</v>
      </c>
      <c r="C10" s="48"/>
      <c r="D10" s="48"/>
      <c r="E10" s="47"/>
      <c r="F10" s="173">
        <f>SUM(H10:S10)</f>
        <v>12</v>
      </c>
      <c r="G10" s="173"/>
      <c r="H10" s="174">
        <v>1</v>
      </c>
      <c r="I10" s="174">
        <v>1</v>
      </c>
      <c r="J10" s="174">
        <v>1</v>
      </c>
      <c r="K10" s="174">
        <v>1</v>
      </c>
      <c r="L10" s="174">
        <v>1</v>
      </c>
      <c r="M10" s="174">
        <v>1</v>
      </c>
      <c r="N10" s="174">
        <v>1</v>
      </c>
      <c r="O10" s="174">
        <v>1</v>
      </c>
      <c r="P10" s="174">
        <v>1</v>
      </c>
      <c r="Q10" s="174">
        <v>1</v>
      </c>
      <c r="R10" s="174">
        <v>1</v>
      </c>
      <c r="S10" s="174">
        <v>1</v>
      </c>
      <c r="T10" s="174">
        <v>1</v>
      </c>
      <c r="U10" s="174">
        <v>1</v>
      </c>
      <c r="V10" s="174">
        <v>1</v>
      </c>
      <c r="W10" s="174">
        <v>1</v>
      </c>
      <c r="X10" s="174">
        <v>1</v>
      </c>
      <c r="Y10" s="174">
        <v>1</v>
      </c>
      <c r="Z10" s="174">
        <v>1</v>
      </c>
      <c r="AA10" s="174">
        <v>1</v>
      </c>
      <c r="AB10" s="174">
        <v>1</v>
      </c>
      <c r="AC10" s="174">
        <v>1</v>
      </c>
      <c r="AD10" s="174">
        <v>1</v>
      </c>
      <c r="AE10" s="174">
        <v>1</v>
      </c>
      <c r="AF10" s="174">
        <v>1</v>
      </c>
      <c r="AG10" s="174">
        <v>1</v>
      </c>
      <c r="AH10" s="174">
        <v>1</v>
      </c>
      <c r="AI10" s="174">
        <v>1</v>
      </c>
      <c r="AJ10" s="174">
        <v>1</v>
      </c>
      <c r="AK10" s="174">
        <v>1</v>
      </c>
      <c r="AL10" s="174">
        <v>1</v>
      </c>
      <c r="AM10" s="174">
        <v>1</v>
      </c>
      <c r="AN10" s="174">
        <v>1</v>
      </c>
      <c r="AO10" s="174">
        <v>1</v>
      </c>
      <c r="AP10" s="174">
        <v>1</v>
      </c>
      <c r="AQ10" s="174">
        <v>1</v>
      </c>
      <c r="AR10" s="174">
        <v>1</v>
      </c>
      <c r="AS10" s="174">
        <v>1</v>
      </c>
      <c r="AT10" s="174">
        <v>1</v>
      </c>
      <c r="AU10" s="174">
        <v>1</v>
      </c>
      <c r="AV10" s="174">
        <v>1</v>
      </c>
      <c r="AW10" s="174">
        <v>1</v>
      </c>
      <c r="AX10" s="174">
        <v>1</v>
      </c>
      <c r="AY10" s="174">
        <v>1</v>
      </c>
      <c r="AZ10" s="174">
        <v>1</v>
      </c>
      <c r="BA10" s="174">
        <v>1</v>
      </c>
      <c r="BB10" s="174">
        <v>1</v>
      </c>
      <c r="BC10" s="174">
        <v>1</v>
      </c>
      <c r="BE10" s="75">
        <f t="shared" si="7"/>
        <v>12</v>
      </c>
      <c r="BF10" s="75">
        <f t="shared" si="7"/>
        <v>12</v>
      </c>
      <c r="BG10" s="75">
        <f t="shared" si="7"/>
        <v>12</v>
      </c>
      <c r="BH10" s="75">
        <f t="shared" si="7"/>
        <v>12</v>
      </c>
    </row>
    <row r="11" spans="2:60" s="171" customFormat="1" ht="21" customHeight="1" x14ac:dyDescent="0.3">
      <c r="B11" s="172" t="s">
        <v>273</v>
      </c>
      <c r="C11" s="200"/>
      <c r="D11" s="200"/>
      <c r="E11" s="201"/>
      <c r="F11" s="199"/>
      <c r="G11" s="173"/>
      <c r="H11" s="202">
        <f>IF('Covid 19'!$C$3="No",0,IF(H5=1,'Covid 19'!$C$8,IF(H5=2,'Covid 19'!$C$11,0)))</f>
        <v>0</v>
      </c>
      <c r="I11" s="202">
        <f>IF('Covid 19'!$C$3="No",0,IF(I5=1,'Covid 19'!$C$8,IF(I5=2,'Covid 19'!$C$11,0)))</f>
        <v>0</v>
      </c>
      <c r="J11" s="202">
        <f>IF('Covid 19'!$C$3="No",0,IF(J5=1,'Covid 19'!$C$8,IF(J5=2,'Covid 19'!$C$11,0)))</f>
        <v>0</v>
      </c>
      <c r="K11" s="202">
        <f>IF('Covid 19'!$C$3="No",0,IF(K5=1,'Covid 19'!$C$8,IF(K5=2,'Covid 19'!$C$11,0)))</f>
        <v>0</v>
      </c>
      <c r="L11" s="202">
        <f>IF('Covid 19'!$C$3="No",0,IF(L5=1,'Covid 19'!$C$8,IF(L5=2,'Covid 19'!$C$11,0)))</f>
        <v>0</v>
      </c>
      <c r="M11" s="202">
        <f>IF('Covid 19'!$C$3="No",0,IF(M5=1,'Covid 19'!$C$8,IF(M5=2,'Covid 19'!$C$11,0)))</f>
        <v>0</v>
      </c>
      <c r="N11" s="202">
        <f>IF('Covid 19'!$C$3="No",0,IF(N5=1,'Covid 19'!$C$8,IF(N5=2,'Covid 19'!$C$11,0)))</f>
        <v>0</v>
      </c>
      <c r="O11" s="202">
        <f>IF('Covid 19'!$C$3="No",0,IF(O5=1,'Covid 19'!$C$8,IF(O5=2,'Covid 19'!$C$11,0)))</f>
        <v>0</v>
      </c>
      <c r="P11" s="202">
        <f>IF('Covid 19'!$C$3="No",0,IF(P5=1,'Covid 19'!$C$8,IF(P5=2,'Covid 19'!$C$11,0)))</f>
        <v>0</v>
      </c>
      <c r="Q11" s="202">
        <f>IF('Covid 19'!$C$3="No",0,IF(Q5=1,'Covid 19'!$C$8,IF(Q5=2,'Covid 19'!$C$11,0)))</f>
        <v>0</v>
      </c>
      <c r="R11" s="202">
        <f>IF('Covid 19'!$C$3="No",0,IF(R5=1,'Covid 19'!$C$8,IF(R5=2,'Covid 19'!$C$11,0)))</f>
        <v>0</v>
      </c>
      <c r="S11" s="202">
        <f>IF('Covid 19'!$C$3="No",0,IF(S5=1,'Covid 19'!$C$8,IF(S5=2,'Covid 19'!$C$11,0)))</f>
        <v>0.4</v>
      </c>
      <c r="T11" s="202">
        <f>IF('Covid 19'!$C$3="No",0,IF(T5=1,'Covid 19'!$C$8,IF(T5=2,'Covid 19'!$C$11,0)))</f>
        <v>0.4</v>
      </c>
      <c r="U11" s="202">
        <f>IF('Covid 19'!$C$3="No",0,IF(U5=1,'Covid 19'!$C$8,IF(U5=2,'Covid 19'!$C$11,0)))</f>
        <v>0.4</v>
      </c>
      <c r="V11" s="202">
        <f>IF('Covid 19'!$C$3="No",0,IF(V5=1,'Covid 19'!$C$8,IF(V5=2,'Covid 19'!$C$11,0)))</f>
        <v>0.05</v>
      </c>
      <c r="W11" s="202">
        <f>IF('Covid 19'!$C$3="No",0,IF(W5=1,'Covid 19'!$C$8,IF(W5=2,'Covid 19'!$C$11,0)))</f>
        <v>0.05</v>
      </c>
      <c r="X11" s="202">
        <f>IF('Covid 19'!$C$3="No",0,IF(X5=1,'Covid 19'!$C$8,IF(X5=2,'Covid 19'!$C$11,0)))</f>
        <v>0.05</v>
      </c>
      <c r="Y11" s="202">
        <f>IF('Covid 19'!$C$3="No",0,IF(Y5=1,'Covid 19'!$C$8,IF(Y5=2,'Covid 19'!$C$11,0)))</f>
        <v>0.05</v>
      </c>
      <c r="Z11" s="202">
        <f>IF('Covid 19'!$C$3="No",0,IF(Z5=1,'Covid 19'!$C$8,IF(Z5=2,'Covid 19'!$C$11,0)))</f>
        <v>0.05</v>
      </c>
      <c r="AA11" s="202">
        <f>IF('Covid 19'!$C$3="No",0,IF(AA5=1,'Covid 19'!$C$8,IF(AA5=2,'Covid 19'!$C$11,0)))</f>
        <v>0.05</v>
      </c>
      <c r="AB11" s="202">
        <f>IF('Covid 19'!$C$3="No",0,IF(AB5=1,'Covid 19'!$C$8,IF(AB5=2,'Covid 19'!$C$11,0)))</f>
        <v>0</v>
      </c>
      <c r="AC11" s="202">
        <f>IF('Covid 19'!$C$3="No",0,IF(AC5=1,'Covid 19'!$C$8,IF(AC5=2,'Covid 19'!$C$11,0)))</f>
        <v>0</v>
      </c>
      <c r="AD11" s="202">
        <f>IF('Covid 19'!$C$3="No",0,IF(AD5=1,'Covid 19'!$C$8,IF(AD5=2,'Covid 19'!$C$11,0)))</f>
        <v>0</v>
      </c>
      <c r="AE11" s="202">
        <f>IF('Covid 19'!$C$3="No",0,IF(AE5=1,'Covid 19'!$C$8,IF(AE5=2,'Covid 19'!$C$11,0)))</f>
        <v>0</v>
      </c>
      <c r="AF11" s="202">
        <f>IF('Covid 19'!$C$3="No",0,IF(AF5=1,'Covid 19'!$C$8,IF(AF5=2,'Covid 19'!$C$11,0)))</f>
        <v>0</v>
      </c>
      <c r="AG11" s="202">
        <f>IF('Covid 19'!$C$3="No",0,IF(AG5=1,'Covid 19'!$C$8,IF(AG5=2,'Covid 19'!$C$11,0)))</f>
        <v>0</v>
      </c>
      <c r="AH11" s="202">
        <f>IF('Covid 19'!$C$3="No",0,IF(AH5=1,'Covid 19'!$C$8,IF(AH5=2,'Covid 19'!$C$11,0)))</f>
        <v>0</v>
      </c>
      <c r="AI11" s="202">
        <f>IF('Covid 19'!$C$3="No",0,IF(AI5=1,'Covid 19'!$C$8,IF(AI5=2,'Covid 19'!$C$11,0)))</f>
        <v>0</v>
      </c>
      <c r="AJ11" s="202">
        <f>IF('Covid 19'!$C$3="No",0,IF(AJ5=1,'Covid 19'!$C$8,IF(AJ5=2,'Covid 19'!$C$11,0)))</f>
        <v>0</v>
      </c>
      <c r="AK11" s="202">
        <f>IF('Covid 19'!$C$3="No",0,IF(AK5=1,'Covid 19'!$C$8,IF(AK5=2,'Covid 19'!$C$11,0)))</f>
        <v>0</v>
      </c>
      <c r="AL11" s="202">
        <f>IF('Covid 19'!$C$3="No",0,IF(AL5=1,'Covid 19'!$C$8,IF(AL5=2,'Covid 19'!$C$11,0)))</f>
        <v>0</v>
      </c>
      <c r="AM11" s="202">
        <f>IF('Covid 19'!$C$3="No",0,IF(AM5=1,'Covid 19'!$C$8,IF(AM5=2,'Covid 19'!$C$11,0)))</f>
        <v>0</v>
      </c>
      <c r="AN11" s="202">
        <f>IF('Covid 19'!$C$3="No",0,IF(AN5=1,'Covid 19'!$C$8,IF(AN5=2,'Covid 19'!$C$11,0)))</f>
        <v>0</v>
      </c>
      <c r="AO11" s="202">
        <f>IF('Covid 19'!$C$3="No",0,IF(AO5=1,'Covid 19'!$C$8,IF(AO5=2,'Covid 19'!$C$11,0)))</f>
        <v>0</v>
      </c>
      <c r="AP11" s="202">
        <f>IF('Covid 19'!$C$3="No",0,IF(AP5=1,'Covid 19'!$C$8,IF(AP5=2,'Covid 19'!$C$11,0)))</f>
        <v>0</v>
      </c>
      <c r="AQ11" s="202">
        <f>IF('Covid 19'!$C$3="No",0,IF(AQ5=1,'Covid 19'!$C$8,IF(AQ5=2,'Covid 19'!$C$11,0)))</f>
        <v>0</v>
      </c>
      <c r="AR11" s="202">
        <f>IF('Covid 19'!$C$3="No",0,IF(AR5=1,'Covid 19'!$C$8,IF(AR5=2,'Covid 19'!$C$11,0)))</f>
        <v>0</v>
      </c>
      <c r="AS11" s="202">
        <f>IF('Covid 19'!$C$3="No",0,IF(AS5=1,'Covid 19'!$C$8,IF(AS5=2,'Covid 19'!$C$11,0)))</f>
        <v>0</v>
      </c>
      <c r="AT11" s="202">
        <f>IF('Covid 19'!$C$3="No",0,IF(AT5=1,'Covid 19'!$C$8,IF(AT5=2,'Covid 19'!$C$11,0)))</f>
        <v>0</v>
      </c>
      <c r="AU11" s="202">
        <f>IF('Covid 19'!$C$3="No",0,IF(AU5=1,'Covid 19'!$C$8,IF(AU5=2,'Covid 19'!$C$11,0)))</f>
        <v>0</v>
      </c>
      <c r="AV11" s="202">
        <f>IF('Covid 19'!$C$3="No",0,IF(AV5=1,'Covid 19'!$C$8,IF(AV5=2,'Covid 19'!$C$11,0)))</f>
        <v>0</v>
      </c>
      <c r="AW11" s="202">
        <f>IF('Covid 19'!$C$3="No",0,IF(AW5=1,'Covid 19'!$C$8,IF(AW5=2,'Covid 19'!$C$11,0)))</f>
        <v>0</v>
      </c>
      <c r="AX11" s="202">
        <f>IF('Covid 19'!$C$3="No",0,IF(AX5=1,'Covid 19'!$C$8,IF(AX5=2,'Covid 19'!$C$11,0)))</f>
        <v>0</v>
      </c>
      <c r="AY11" s="202">
        <f>IF('Covid 19'!$C$3="No",0,IF(AY5=1,'Covid 19'!$C$8,IF(AY5=2,'Covid 19'!$C$11,0)))</f>
        <v>0</v>
      </c>
      <c r="AZ11" s="202">
        <f>IF('Covid 19'!$C$3="No",0,IF(AZ5=1,'Covid 19'!$C$8,IF(AZ5=2,'Covid 19'!$C$11,0)))</f>
        <v>0</v>
      </c>
      <c r="BA11" s="202">
        <f>IF('Covid 19'!$C$3="No",0,IF(BA5=1,'Covid 19'!$C$8,IF(BA5=2,'Covid 19'!$C$11,0)))</f>
        <v>0</v>
      </c>
      <c r="BB11" s="202">
        <f>IF('Covid 19'!$C$3="No",0,IF(BB5=1,'Covid 19'!$C$8,IF(BB5=2,'Covid 19'!$C$11,0)))</f>
        <v>0</v>
      </c>
      <c r="BC11" s="202">
        <f>IF('Covid 19'!$C$3="No",0,IF(BC5=1,'Covid 19'!$C$8,IF(BC5=2,'Covid 19'!$C$11,0)))</f>
        <v>0</v>
      </c>
      <c r="BE11" s="173"/>
      <c r="BF11" s="173"/>
      <c r="BG11" s="173"/>
      <c r="BH11" s="173"/>
    </row>
    <row r="12" spans="2:60" s="171" customFormat="1" ht="21" customHeight="1" x14ac:dyDescent="0.3">
      <c r="B12" s="172" t="s">
        <v>338</v>
      </c>
      <c r="C12" s="200"/>
      <c r="D12" s="200"/>
      <c r="E12" s="201"/>
      <c r="F12" s="199"/>
      <c r="G12" s="173"/>
      <c r="H12" s="202">
        <f>IF('Covid 19'!$C$3="No",0,IF(H5=1,'Covid 19'!$D$30,IF(H5=2,'Covid 19'!$E$30,'Covid 19'!$C$30)))</f>
        <v>0.98</v>
      </c>
      <c r="I12" s="202">
        <f>IF(I5=1,'Covid 19'!$D$30,IF(I5=2,'Covid 19'!$E$30,'Covid 19'!$C$30))</f>
        <v>0.98</v>
      </c>
      <c r="J12" s="202">
        <f>IF(J5=1,'Covid 19'!$D$30,IF(J5=2,'Covid 19'!$E$30,'Covid 19'!$C$30))</f>
        <v>0.98</v>
      </c>
      <c r="K12" s="202">
        <f>IF(K5=1,'Covid 19'!$D$30,IF(K5=2,'Covid 19'!$E$30,'Covid 19'!$C$30))</f>
        <v>0.98</v>
      </c>
      <c r="L12" s="202">
        <f>IF(L5=1,'Covid 19'!$D$30,IF(L5=2,'Covid 19'!$E$30,'Covid 19'!$C$30))</f>
        <v>0.98</v>
      </c>
      <c r="M12" s="202">
        <f>IF(M5=1,'Covid 19'!$D$30,IF(M5=2,'Covid 19'!$E$30,'Covid 19'!$C$30))</f>
        <v>0.98</v>
      </c>
      <c r="N12" s="202">
        <f>IF(N5=1,'Covid 19'!$D$30,IF(N5=2,'Covid 19'!$E$30,'Covid 19'!$C$30))</f>
        <v>0.98</v>
      </c>
      <c r="O12" s="202">
        <f>IF(O5=1,'Covid 19'!$D$30,IF(O5=2,'Covid 19'!$E$30,'Covid 19'!$C$30))</f>
        <v>0.98</v>
      </c>
      <c r="P12" s="202">
        <f>IF(P5=1,'Covid 19'!$D$30,IF(P5=2,'Covid 19'!$E$30,'Covid 19'!$C$30))</f>
        <v>0.98</v>
      </c>
      <c r="Q12" s="202">
        <f>IF(Q5=1,'Covid 19'!$D$30,IF(Q5=2,'Covid 19'!$E$30,'Covid 19'!$C$30))</f>
        <v>0.98</v>
      </c>
      <c r="R12" s="202">
        <f>IF(R5=1,'Covid 19'!$D$30,IF(R5=2,'Covid 19'!$E$30,'Covid 19'!$C$30))</f>
        <v>0.98</v>
      </c>
      <c r="S12" s="202">
        <f>IF(S5=1,'Covid 19'!$D$30,IF(S5=2,'Covid 19'!$E$30,'Covid 19'!$C$30))</f>
        <v>0.7</v>
      </c>
      <c r="T12" s="202">
        <f>IF(T5=1,'Covid 19'!$D$30,IF(T5=2,'Covid 19'!$E$30,'Covid 19'!$C$30))</f>
        <v>0.7</v>
      </c>
      <c r="U12" s="202">
        <f>IF(U5=1,'Covid 19'!$D$30,IF(U5=2,'Covid 19'!$E$30,'Covid 19'!$C$30))</f>
        <v>0.7</v>
      </c>
      <c r="V12" s="202">
        <f>IF(V5=1,'Covid 19'!$D$30,IF(V5=2,'Covid 19'!$E$30,'Covid 19'!$C$30))</f>
        <v>0.95</v>
      </c>
      <c r="W12" s="202">
        <f>IF(W5=1,'Covid 19'!$D$30,IF(W5=2,'Covid 19'!$E$30,'Covid 19'!$C$30))</f>
        <v>0.95</v>
      </c>
      <c r="X12" s="202">
        <f>IF(X5=1,'Covid 19'!$D$30,IF(X5=2,'Covid 19'!$E$30,'Covid 19'!$C$30))</f>
        <v>0.95</v>
      </c>
      <c r="Y12" s="202">
        <f>IF(Y5=1,'Covid 19'!$D$30,IF(Y5=2,'Covid 19'!$E$30,'Covid 19'!$C$30))</f>
        <v>0.95</v>
      </c>
      <c r="Z12" s="202">
        <f>IF(Z5=1,'Covid 19'!$D$30,IF(Z5=2,'Covid 19'!$E$30,'Covid 19'!$C$30))</f>
        <v>0.95</v>
      </c>
      <c r="AA12" s="202">
        <f>IF(AA5=1,'Covid 19'!$D$30,IF(AA5=2,'Covid 19'!$E$30,'Covid 19'!$C$30))</f>
        <v>0.95</v>
      </c>
      <c r="AB12" s="202">
        <f>IF(AB5=1,'Covid 19'!$D$30,IF(AB5=2,'Covid 19'!$E$30,'Covid 19'!$C$30))</f>
        <v>0.98</v>
      </c>
      <c r="AC12" s="202">
        <f>IF(AC5=1,'Covid 19'!$D$30,IF(AC5=2,'Covid 19'!$E$30,'Covid 19'!$C$30))</f>
        <v>0.98</v>
      </c>
      <c r="AD12" s="202">
        <f>IF(AD5=1,'Covid 19'!$D$30,IF(AD5=2,'Covid 19'!$E$30,'Covid 19'!$C$30))</f>
        <v>0.98</v>
      </c>
      <c r="AE12" s="202">
        <f>IF(AE5=1,'Covid 19'!$D$30,IF(AE5=2,'Covid 19'!$E$30,'Covid 19'!$C$30))</f>
        <v>0.98</v>
      </c>
      <c r="AF12" s="202">
        <f>IF(AF5=1,'Covid 19'!$D$30,IF(AF5=2,'Covid 19'!$E$30,'Covid 19'!$C$30))</f>
        <v>0.98</v>
      </c>
      <c r="AG12" s="202">
        <f>IF(AG5=1,'Covid 19'!$D$30,IF(AG5=2,'Covid 19'!$E$30,'Covid 19'!$C$30))</f>
        <v>0.98</v>
      </c>
      <c r="AH12" s="202">
        <f>IF(AH5=1,'Covid 19'!$D$30,IF(AH5=2,'Covid 19'!$E$30,'Covid 19'!$C$30))</f>
        <v>0.98</v>
      </c>
      <c r="AI12" s="202">
        <f>IF(AI5=1,'Covid 19'!$D$30,IF(AI5=2,'Covid 19'!$E$30,'Covid 19'!$C$30))</f>
        <v>0.98</v>
      </c>
      <c r="AJ12" s="202">
        <f>IF(AJ5=1,'Covid 19'!$D$30,IF(AJ5=2,'Covid 19'!$E$30,'Covid 19'!$C$30))</f>
        <v>0.98</v>
      </c>
      <c r="AK12" s="202">
        <f>IF(AK5=1,'Covid 19'!$D$30,IF(AK5=2,'Covid 19'!$E$30,'Covid 19'!$C$30))</f>
        <v>0.98</v>
      </c>
      <c r="AL12" s="202">
        <f>IF(AL5=1,'Covid 19'!$D$30,IF(AL5=2,'Covid 19'!$E$30,'Covid 19'!$C$30))</f>
        <v>0.98</v>
      </c>
      <c r="AM12" s="202">
        <f>IF(AM5=1,'Covid 19'!$D$30,IF(AM5=2,'Covid 19'!$E$30,'Covid 19'!$C$30))</f>
        <v>0.98</v>
      </c>
      <c r="AN12" s="202">
        <f>IF(AN5=1,'Covid 19'!$D$30,IF(AN5=2,'Covid 19'!$E$30,'Covid 19'!$C$30))</f>
        <v>0.98</v>
      </c>
      <c r="AO12" s="202">
        <f>IF(AO5=1,'Covid 19'!$D$30,IF(AO5=2,'Covid 19'!$E$30,'Covid 19'!$C$30))</f>
        <v>0.98</v>
      </c>
      <c r="AP12" s="202">
        <f>IF(AP5=1,'Covid 19'!$D$30,IF(AP5=2,'Covid 19'!$E$30,'Covid 19'!$C$30))</f>
        <v>0.98</v>
      </c>
      <c r="AQ12" s="202">
        <f>IF(AQ5=1,'Covid 19'!$D$30,IF(AQ5=2,'Covid 19'!$E$30,'Covid 19'!$C$30))</f>
        <v>0.98</v>
      </c>
      <c r="AR12" s="202">
        <f>IF(AR5=1,'Covid 19'!$D$30,IF(AR5=2,'Covid 19'!$E$30,'Covid 19'!$C$30))</f>
        <v>0.98</v>
      </c>
      <c r="AS12" s="202">
        <f>IF(AS5=1,'Covid 19'!$D$30,IF(AS5=2,'Covid 19'!$E$30,'Covid 19'!$C$30))</f>
        <v>0.98</v>
      </c>
      <c r="AT12" s="202">
        <f>IF(AT5=1,'Covid 19'!$D$30,IF(AT5=2,'Covid 19'!$E$30,'Covid 19'!$C$30))</f>
        <v>0.98</v>
      </c>
      <c r="AU12" s="202">
        <f>IF(AU5=1,'Covid 19'!$D$30,IF(AU5=2,'Covid 19'!$E$30,'Covid 19'!$C$30))</f>
        <v>0.98</v>
      </c>
      <c r="AV12" s="202">
        <f>IF(AV5=1,'Covid 19'!$D$30,IF(AV5=2,'Covid 19'!$E$30,'Covid 19'!$C$30))</f>
        <v>0.98</v>
      </c>
      <c r="AW12" s="202">
        <f>IF(AW5=1,'Covid 19'!$D$30,IF(AW5=2,'Covid 19'!$E$30,'Covid 19'!$C$30))</f>
        <v>0.98</v>
      </c>
      <c r="AX12" s="202">
        <f>IF(AX5=1,'Covid 19'!$D$30,IF(AX5=2,'Covid 19'!$E$30,'Covid 19'!$C$30))</f>
        <v>0.98</v>
      </c>
      <c r="AY12" s="202">
        <f>IF(AY5=1,'Covid 19'!$D$30,IF(AY5=2,'Covid 19'!$E$30,'Covid 19'!$C$30))</f>
        <v>0.98</v>
      </c>
      <c r="AZ12" s="202">
        <f>IF(AZ5=1,'Covid 19'!$D$30,IF(AZ5=2,'Covid 19'!$E$30,'Covid 19'!$C$30))</f>
        <v>0.98</v>
      </c>
      <c r="BA12" s="202">
        <f>IF(BA5=1,'Covid 19'!$D$30,IF(BA5=2,'Covid 19'!$E$30,'Covid 19'!$C$30))</f>
        <v>0.98</v>
      </c>
      <c r="BB12" s="202">
        <f>IF(BB5=1,'Covid 19'!$D$30,IF(BB5=2,'Covid 19'!$E$30,'Covid 19'!$C$30))</f>
        <v>0.98</v>
      </c>
      <c r="BC12" s="202">
        <f>IF(BC5=1,'Covid 19'!$D$30,IF(BC5=2,'Covid 19'!$E$30,'Covid 19'!$C$30))</f>
        <v>0.98</v>
      </c>
      <c r="BE12" s="173"/>
      <c r="BF12" s="173"/>
      <c r="BG12" s="173"/>
      <c r="BH12" s="173"/>
    </row>
    <row r="13" spans="2:60" s="57" customFormat="1" ht="21" customHeight="1" x14ac:dyDescent="0.3">
      <c r="B13" s="164" t="s">
        <v>256</v>
      </c>
      <c r="C13" s="48">
        <f>'Master Data'!$C$4</f>
        <v>43556</v>
      </c>
      <c r="D13" s="48"/>
      <c r="E13" s="47">
        <v>1</v>
      </c>
      <c r="F13" s="75">
        <f>'Master Data'!F6+'Master Data'!F11</f>
        <v>50000</v>
      </c>
      <c r="G13" s="75"/>
      <c r="H13" s="75">
        <f t="shared" ref="H13:BC13" si="8">IFERROR(MIN(1,MAX(0,(EOMONTH(H$4,0)+1-$C13)/(EDATE($C13,$E13)-$C13)))*$F13/12+IF(H$3=1,$G13/12,0),0)*(1-H11)*H10</f>
        <v>4166.666666666667</v>
      </c>
      <c r="I13" s="75">
        <f t="shared" si="8"/>
        <v>4166.666666666667</v>
      </c>
      <c r="J13" s="75">
        <f t="shared" si="8"/>
        <v>4166.666666666667</v>
      </c>
      <c r="K13" s="75">
        <f t="shared" si="8"/>
        <v>4166.666666666667</v>
      </c>
      <c r="L13" s="75">
        <f t="shared" si="8"/>
        <v>4166.666666666667</v>
      </c>
      <c r="M13" s="75">
        <f t="shared" si="8"/>
        <v>4166.666666666667</v>
      </c>
      <c r="N13" s="75">
        <f t="shared" si="8"/>
        <v>4166.666666666667</v>
      </c>
      <c r="O13" s="75">
        <f t="shared" si="8"/>
        <v>4166.666666666667</v>
      </c>
      <c r="P13" s="75">
        <f t="shared" si="8"/>
        <v>4166.666666666667</v>
      </c>
      <c r="Q13" s="75">
        <f t="shared" si="8"/>
        <v>4166.666666666667</v>
      </c>
      <c r="R13" s="75">
        <f t="shared" si="8"/>
        <v>4166.666666666667</v>
      </c>
      <c r="S13" s="75">
        <f t="shared" si="8"/>
        <v>2500</v>
      </c>
      <c r="T13" s="75">
        <f t="shared" si="8"/>
        <v>2500</v>
      </c>
      <c r="U13" s="75">
        <f t="shared" si="8"/>
        <v>2500</v>
      </c>
      <c r="V13" s="75">
        <f t="shared" si="8"/>
        <v>3958.3333333333335</v>
      </c>
      <c r="W13" s="75">
        <f t="shared" si="8"/>
        <v>3958.3333333333335</v>
      </c>
      <c r="X13" s="75">
        <f t="shared" si="8"/>
        <v>3958.3333333333335</v>
      </c>
      <c r="Y13" s="75">
        <f t="shared" si="8"/>
        <v>3958.3333333333335</v>
      </c>
      <c r="Z13" s="75">
        <f t="shared" si="8"/>
        <v>3958.3333333333335</v>
      </c>
      <c r="AA13" s="75">
        <f t="shared" si="8"/>
        <v>3958.3333333333335</v>
      </c>
      <c r="AB13" s="75">
        <f t="shared" si="8"/>
        <v>4166.666666666667</v>
      </c>
      <c r="AC13" s="75">
        <f t="shared" si="8"/>
        <v>4166.666666666667</v>
      </c>
      <c r="AD13" s="75">
        <f t="shared" si="8"/>
        <v>4166.666666666667</v>
      </c>
      <c r="AE13" s="75">
        <f t="shared" si="8"/>
        <v>4166.666666666667</v>
      </c>
      <c r="AF13" s="75">
        <f t="shared" si="8"/>
        <v>4166.666666666667</v>
      </c>
      <c r="AG13" s="75">
        <f t="shared" si="8"/>
        <v>4166.666666666667</v>
      </c>
      <c r="AH13" s="75">
        <f t="shared" si="8"/>
        <v>4166.666666666667</v>
      </c>
      <c r="AI13" s="75">
        <f t="shared" si="8"/>
        <v>4166.666666666667</v>
      </c>
      <c r="AJ13" s="75">
        <f t="shared" si="8"/>
        <v>4166.666666666667</v>
      </c>
      <c r="AK13" s="75">
        <f t="shared" si="8"/>
        <v>4166.666666666667</v>
      </c>
      <c r="AL13" s="75">
        <f t="shared" si="8"/>
        <v>4166.666666666667</v>
      </c>
      <c r="AM13" s="75">
        <f t="shared" si="8"/>
        <v>4166.666666666667</v>
      </c>
      <c r="AN13" s="75">
        <f t="shared" si="8"/>
        <v>4166.666666666667</v>
      </c>
      <c r="AO13" s="75">
        <f t="shared" si="8"/>
        <v>4166.666666666667</v>
      </c>
      <c r="AP13" s="75">
        <f t="shared" si="8"/>
        <v>4166.666666666667</v>
      </c>
      <c r="AQ13" s="75">
        <f t="shared" si="8"/>
        <v>4166.666666666667</v>
      </c>
      <c r="AR13" s="75">
        <f t="shared" si="8"/>
        <v>4166.666666666667</v>
      </c>
      <c r="AS13" s="75">
        <f t="shared" si="8"/>
        <v>4166.666666666667</v>
      </c>
      <c r="AT13" s="75">
        <f t="shared" si="8"/>
        <v>4166.666666666667</v>
      </c>
      <c r="AU13" s="75">
        <f t="shared" si="8"/>
        <v>4166.666666666667</v>
      </c>
      <c r="AV13" s="75">
        <f t="shared" si="8"/>
        <v>4166.666666666667</v>
      </c>
      <c r="AW13" s="75">
        <f t="shared" si="8"/>
        <v>4166.666666666667</v>
      </c>
      <c r="AX13" s="75">
        <f t="shared" si="8"/>
        <v>4166.666666666667</v>
      </c>
      <c r="AY13" s="75">
        <f t="shared" si="8"/>
        <v>4166.666666666667</v>
      </c>
      <c r="AZ13" s="75">
        <f t="shared" si="8"/>
        <v>4166.666666666667</v>
      </c>
      <c r="BA13" s="75">
        <f t="shared" si="8"/>
        <v>4166.666666666667</v>
      </c>
      <c r="BB13" s="75">
        <f t="shared" si="8"/>
        <v>4166.666666666667</v>
      </c>
      <c r="BC13" s="75">
        <f t="shared" si="8"/>
        <v>4166.666666666667</v>
      </c>
      <c r="BE13" s="75">
        <f t="shared" si="7"/>
        <v>48333.333333333328</v>
      </c>
      <c r="BF13" s="75">
        <f t="shared" si="7"/>
        <v>45416.666666666657</v>
      </c>
      <c r="BG13" s="75">
        <f t="shared" si="7"/>
        <v>49999.999999999993</v>
      </c>
      <c r="BH13" s="75">
        <f t="shared" si="7"/>
        <v>49999.999999999993</v>
      </c>
    </row>
    <row r="14" spans="2:60" s="57" customFormat="1" ht="21" customHeight="1" x14ac:dyDescent="0.3">
      <c r="B14" s="164" t="s">
        <v>334</v>
      </c>
      <c r="C14" s="48"/>
      <c r="D14" s="48"/>
      <c r="E14" s="47"/>
      <c r="F14" s="75"/>
      <c r="G14" s="75"/>
      <c r="H14" s="75">
        <f>H12*H13</f>
        <v>4083.3333333333335</v>
      </c>
      <c r="I14" s="75">
        <f t="shared" ref="I14:BC14" si="9">I12*I13</f>
        <v>4083.3333333333335</v>
      </c>
      <c r="J14" s="75">
        <f t="shared" si="9"/>
        <v>4083.3333333333335</v>
      </c>
      <c r="K14" s="75">
        <f t="shared" si="9"/>
        <v>4083.3333333333335</v>
      </c>
      <c r="L14" s="75">
        <f t="shared" si="9"/>
        <v>4083.3333333333335</v>
      </c>
      <c r="M14" s="75">
        <f t="shared" si="9"/>
        <v>4083.3333333333335</v>
      </c>
      <c r="N14" s="75">
        <f t="shared" si="9"/>
        <v>4083.3333333333335</v>
      </c>
      <c r="O14" s="75">
        <f t="shared" si="9"/>
        <v>4083.3333333333335</v>
      </c>
      <c r="P14" s="75">
        <f t="shared" si="9"/>
        <v>4083.3333333333335</v>
      </c>
      <c r="Q14" s="75">
        <f t="shared" si="9"/>
        <v>4083.3333333333335</v>
      </c>
      <c r="R14" s="75">
        <f t="shared" si="9"/>
        <v>4083.3333333333335</v>
      </c>
      <c r="S14" s="75">
        <f t="shared" si="9"/>
        <v>1750</v>
      </c>
      <c r="T14" s="75">
        <f t="shared" si="9"/>
        <v>1750</v>
      </c>
      <c r="U14" s="75">
        <f t="shared" si="9"/>
        <v>1750</v>
      </c>
      <c r="V14" s="75">
        <f t="shared" si="9"/>
        <v>3760.4166666666665</v>
      </c>
      <c r="W14" s="75">
        <f t="shared" si="9"/>
        <v>3760.4166666666665</v>
      </c>
      <c r="X14" s="75">
        <f t="shared" si="9"/>
        <v>3760.4166666666665</v>
      </c>
      <c r="Y14" s="75">
        <f t="shared" si="9"/>
        <v>3760.4166666666665</v>
      </c>
      <c r="Z14" s="75">
        <f t="shared" si="9"/>
        <v>3760.4166666666665</v>
      </c>
      <c r="AA14" s="75">
        <f t="shared" si="9"/>
        <v>3760.4166666666665</v>
      </c>
      <c r="AB14" s="75">
        <f t="shared" si="9"/>
        <v>4083.3333333333335</v>
      </c>
      <c r="AC14" s="75">
        <f t="shared" si="9"/>
        <v>4083.3333333333335</v>
      </c>
      <c r="AD14" s="75">
        <f t="shared" si="9"/>
        <v>4083.3333333333335</v>
      </c>
      <c r="AE14" s="75">
        <f t="shared" si="9"/>
        <v>4083.3333333333335</v>
      </c>
      <c r="AF14" s="75">
        <f t="shared" si="9"/>
        <v>4083.3333333333335</v>
      </c>
      <c r="AG14" s="75">
        <f t="shared" si="9"/>
        <v>4083.3333333333335</v>
      </c>
      <c r="AH14" s="75">
        <f t="shared" si="9"/>
        <v>4083.3333333333335</v>
      </c>
      <c r="AI14" s="75">
        <f t="shared" si="9"/>
        <v>4083.3333333333335</v>
      </c>
      <c r="AJ14" s="75">
        <f t="shared" si="9"/>
        <v>4083.3333333333335</v>
      </c>
      <c r="AK14" s="75">
        <f t="shared" si="9"/>
        <v>4083.3333333333335</v>
      </c>
      <c r="AL14" s="75">
        <f t="shared" si="9"/>
        <v>4083.3333333333335</v>
      </c>
      <c r="AM14" s="75">
        <f t="shared" si="9"/>
        <v>4083.3333333333335</v>
      </c>
      <c r="AN14" s="75">
        <f t="shared" si="9"/>
        <v>4083.3333333333335</v>
      </c>
      <c r="AO14" s="75">
        <f t="shared" si="9"/>
        <v>4083.3333333333335</v>
      </c>
      <c r="AP14" s="75">
        <f t="shared" si="9"/>
        <v>4083.3333333333335</v>
      </c>
      <c r="AQ14" s="75">
        <f t="shared" si="9"/>
        <v>4083.3333333333335</v>
      </c>
      <c r="AR14" s="75">
        <f t="shared" si="9"/>
        <v>4083.3333333333335</v>
      </c>
      <c r="AS14" s="75">
        <f t="shared" si="9"/>
        <v>4083.3333333333335</v>
      </c>
      <c r="AT14" s="75">
        <f t="shared" si="9"/>
        <v>4083.3333333333335</v>
      </c>
      <c r="AU14" s="75">
        <f t="shared" si="9"/>
        <v>4083.3333333333335</v>
      </c>
      <c r="AV14" s="75">
        <f t="shared" si="9"/>
        <v>4083.3333333333335</v>
      </c>
      <c r="AW14" s="75">
        <f t="shared" si="9"/>
        <v>4083.3333333333335</v>
      </c>
      <c r="AX14" s="75">
        <f t="shared" si="9"/>
        <v>4083.3333333333335</v>
      </c>
      <c r="AY14" s="75">
        <f t="shared" si="9"/>
        <v>4083.3333333333335</v>
      </c>
      <c r="AZ14" s="75">
        <f t="shared" si="9"/>
        <v>4083.3333333333335</v>
      </c>
      <c r="BA14" s="75">
        <f t="shared" si="9"/>
        <v>4083.3333333333335</v>
      </c>
      <c r="BB14" s="75">
        <f t="shared" si="9"/>
        <v>4083.3333333333335</v>
      </c>
      <c r="BC14" s="75">
        <f t="shared" si="9"/>
        <v>4083.3333333333335</v>
      </c>
      <c r="BE14" s="75">
        <f t="shared" si="7"/>
        <v>46666.666666666672</v>
      </c>
      <c r="BF14" s="75">
        <f t="shared" si="7"/>
        <v>42395.833333333336</v>
      </c>
      <c r="BG14" s="75">
        <f t="shared" si="7"/>
        <v>49000.000000000007</v>
      </c>
      <c r="BH14" s="75">
        <f t="shared" si="7"/>
        <v>49000.000000000007</v>
      </c>
    </row>
    <row r="15" spans="2:60" s="57" customFormat="1" ht="21" customHeight="1" x14ac:dyDescent="0.3">
      <c r="B15" s="164" t="s">
        <v>264</v>
      </c>
      <c r="C15" s="48"/>
      <c r="D15" s="48"/>
      <c r="E15" s="47"/>
      <c r="F15" s="75"/>
      <c r="G15" s="75"/>
      <c r="H15" s="75">
        <f>H13-H14</f>
        <v>83.333333333333485</v>
      </c>
      <c r="I15" s="75">
        <f t="shared" ref="I15:BC15" si="10">I13-I14</f>
        <v>83.333333333333485</v>
      </c>
      <c r="J15" s="75">
        <f t="shared" si="10"/>
        <v>83.333333333333485</v>
      </c>
      <c r="K15" s="75">
        <f t="shared" si="10"/>
        <v>83.333333333333485</v>
      </c>
      <c r="L15" s="75">
        <f t="shared" si="10"/>
        <v>83.333333333333485</v>
      </c>
      <c r="M15" s="75">
        <f t="shared" si="10"/>
        <v>83.333333333333485</v>
      </c>
      <c r="N15" s="75">
        <f t="shared" si="10"/>
        <v>83.333333333333485</v>
      </c>
      <c r="O15" s="75">
        <f t="shared" si="10"/>
        <v>83.333333333333485</v>
      </c>
      <c r="P15" s="75">
        <f t="shared" si="10"/>
        <v>83.333333333333485</v>
      </c>
      <c r="Q15" s="75">
        <f t="shared" si="10"/>
        <v>83.333333333333485</v>
      </c>
      <c r="R15" s="75">
        <f t="shared" si="10"/>
        <v>83.333333333333485</v>
      </c>
      <c r="S15" s="75">
        <f t="shared" si="10"/>
        <v>750</v>
      </c>
      <c r="T15" s="75">
        <f t="shared" si="10"/>
        <v>750</v>
      </c>
      <c r="U15" s="75">
        <f t="shared" si="10"/>
        <v>750</v>
      </c>
      <c r="V15" s="75">
        <f t="shared" si="10"/>
        <v>197.91666666666697</v>
      </c>
      <c r="W15" s="75">
        <f t="shared" si="10"/>
        <v>197.91666666666697</v>
      </c>
      <c r="X15" s="75">
        <f t="shared" si="10"/>
        <v>197.91666666666697</v>
      </c>
      <c r="Y15" s="75">
        <f t="shared" si="10"/>
        <v>197.91666666666697</v>
      </c>
      <c r="Z15" s="75">
        <f t="shared" si="10"/>
        <v>197.91666666666697</v>
      </c>
      <c r="AA15" s="75">
        <f t="shared" si="10"/>
        <v>197.91666666666697</v>
      </c>
      <c r="AB15" s="75">
        <f t="shared" si="10"/>
        <v>83.333333333333485</v>
      </c>
      <c r="AC15" s="75">
        <f t="shared" si="10"/>
        <v>83.333333333333485</v>
      </c>
      <c r="AD15" s="75">
        <f t="shared" si="10"/>
        <v>83.333333333333485</v>
      </c>
      <c r="AE15" s="75">
        <f t="shared" si="10"/>
        <v>83.333333333333485</v>
      </c>
      <c r="AF15" s="75">
        <f t="shared" si="10"/>
        <v>83.333333333333485</v>
      </c>
      <c r="AG15" s="75">
        <f t="shared" si="10"/>
        <v>83.333333333333485</v>
      </c>
      <c r="AH15" s="75">
        <f t="shared" si="10"/>
        <v>83.333333333333485</v>
      </c>
      <c r="AI15" s="75">
        <f t="shared" si="10"/>
        <v>83.333333333333485</v>
      </c>
      <c r="AJ15" s="75">
        <f t="shared" si="10"/>
        <v>83.333333333333485</v>
      </c>
      <c r="AK15" s="75">
        <f t="shared" si="10"/>
        <v>83.333333333333485</v>
      </c>
      <c r="AL15" s="75">
        <f t="shared" si="10"/>
        <v>83.333333333333485</v>
      </c>
      <c r="AM15" s="75">
        <f t="shared" si="10"/>
        <v>83.333333333333485</v>
      </c>
      <c r="AN15" s="75">
        <f t="shared" si="10"/>
        <v>83.333333333333485</v>
      </c>
      <c r="AO15" s="75">
        <f t="shared" si="10"/>
        <v>83.333333333333485</v>
      </c>
      <c r="AP15" s="75">
        <f t="shared" si="10"/>
        <v>83.333333333333485</v>
      </c>
      <c r="AQ15" s="75">
        <f t="shared" si="10"/>
        <v>83.333333333333485</v>
      </c>
      <c r="AR15" s="75">
        <f t="shared" si="10"/>
        <v>83.333333333333485</v>
      </c>
      <c r="AS15" s="75">
        <f t="shared" si="10"/>
        <v>83.333333333333485</v>
      </c>
      <c r="AT15" s="75">
        <f t="shared" si="10"/>
        <v>83.333333333333485</v>
      </c>
      <c r="AU15" s="75">
        <f t="shared" si="10"/>
        <v>83.333333333333485</v>
      </c>
      <c r="AV15" s="75">
        <f t="shared" si="10"/>
        <v>83.333333333333485</v>
      </c>
      <c r="AW15" s="75">
        <f t="shared" si="10"/>
        <v>83.333333333333485</v>
      </c>
      <c r="AX15" s="75">
        <f t="shared" si="10"/>
        <v>83.333333333333485</v>
      </c>
      <c r="AY15" s="75">
        <f t="shared" si="10"/>
        <v>83.333333333333485</v>
      </c>
      <c r="AZ15" s="75">
        <f t="shared" si="10"/>
        <v>83.333333333333485</v>
      </c>
      <c r="BA15" s="75">
        <f t="shared" si="10"/>
        <v>83.333333333333485</v>
      </c>
      <c r="BB15" s="75">
        <f t="shared" si="10"/>
        <v>83.333333333333485</v>
      </c>
      <c r="BC15" s="75">
        <f t="shared" si="10"/>
        <v>83.333333333333485</v>
      </c>
      <c r="BE15" s="75">
        <f t="shared" si="7"/>
        <v>1666.6666666666683</v>
      </c>
      <c r="BF15" s="75">
        <f t="shared" si="7"/>
        <v>3020.8333333333358</v>
      </c>
      <c r="BG15" s="75">
        <f t="shared" si="7"/>
        <v>1000.0000000000018</v>
      </c>
      <c r="BH15" s="75">
        <f t="shared" si="7"/>
        <v>1000.0000000000018</v>
      </c>
    </row>
    <row r="16" spans="2:60" s="57" customFormat="1" ht="21" customHeight="1" x14ac:dyDescent="0.3">
      <c r="B16" s="164" t="s">
        <v>251</v>
      </c>
      <c r="C16" s="48">
        <f>'GP Triage'!C3</f>
        <v>43922</v>
      </c>
      <c r="D16" s="48"/>
      <c r="E16" s="47">
        <f>'GP Triage'!C4</f>
        <v>3</v>
      </c>
      <c r="F16" s="75">
        <f>'GP Triage'!G22</f>
        <v>3822</v>
      </c>
      <c r="G16" s="75"/>
      <c r="H16" s="75">
        <f>IF(H5=1,'GP Triage'!$G$34/'Covid 19'!$C$7,IFERROR(MIN(1,MAX(0,(EOMONTH(H$4,0)+1-$C16)/(EDATE($C16,$E16)-$C16)))*$F16/12+IF(H$3=1,$G16/12,0),0))</f>
        <v>0</v>
      </c>
      <c r="I16" s="75">
        <f>IF(I5=1,'GP Triage'!$G$34/'Covid 19'!$C$7,IFERROR(MIN(1,MAX(0,(EOMONTH(I$4,0)+1-$C16)/(EDATE($C16,$E16)-$C16)))*$F16/12+IF(I$3=1,$G16/12,0),0))</f>
        <v>0</v>
      </c>
      <c r="J16" s="75">
        <f>IF(J5=1,'GP Triage'!$G$34/'Covid 19'!$C$7,IFERROR(MIN(1,MAX(0,(EOMONTH(J$4,0)+1-$C16)/(EDATE($C16,$E16)-$C16)))*$F16/12+IF(J$3=1,$G16/12,0),0))</f>
        <v>0</v>
      </c>
      <c r="K16" s="75">
        <f>IF(K5=1,'GP Triage'!$G$34/'Covid 19'!$C$7,IFERROR(MIN(1,MAX(0,(EOMONTH(K$4,0)+1-$C16)/(EDATE($C16,$E16)-$C16)))*$F16/12+IF(K$3=1,$G16/12,0),0))</f>
        <v>0</v>
      </c>
      <c r="L16" s="75">
        <f>IF(L5=1,'GP Triage'!$G$34/'Covid 19'!$C$7,IFERROR(MIN(1,MAX(0,(EOMONTH(L$4,0)+1-$C16)/(EDATE($C16,$E16)-$C16)))*$F16/12+IF(L$3=1,$G16/12,0),0))</f>
        <v>0</v>
      </c>
      <c r="M16" s="75">
        <f>IF(M5=1,'GP Triage'!$G$34/'Covid 19'!$C$7,IFERROR(MIN(1,MAX(0,(EOMONTH(M$4,0)+1-$C16)/(EDATE($C16,$E16)-$C16)))*$F16/12+IF(M$3=1,$G16/12,0),0))</f>
        <v>0</v>
      </c>
      <c r="N16" s="75">
        <f>IF(N5=1,'GP Triage'!$G$34/'Covid 19'!$C$7,IFERROR(MIN(1,MAX(0,(EOMONTH(N$4,0)+1-$C16)/(EDATE($C16,$E16)-$C16)))*$F16/12+IF(N$3=1,$G16/12,0),0))</f>
        <v>0</v>
      </c>
      <c r="O16" s="75">
        <f>IF(O5=1,'GP Triage'!$G$34/'Covid 19'!$C$7,IFERROR(MIN(1,MAX(0,(EOMONTH(O$4,0)+1-$C16)/(EDATE($C16,$E16)-$C16)))*$F16/12+IF(O$3=1,$G16/12,0),0))</f>
        <v>0</v>
      </c>
      <c r="P16" s="75">
        <f>IF(P5=1,'GP Triage'!$G$34/'Covid 19'!$C$7,IFERROR(MIN(1,MAX(0,(EOMONTH(P$4,0)+1-$C16)/(EDATE($C16,$E16)-$C16)))*$F16/12+IF(P$3=1,$G16/12,0),0))</f>
        <v>0</v>
      </c>
      <c r="Q16" s="75">
        <f>IF(Q5=1,'GP Triage'!$G$34/'Covid 19'!$C$7,IFERROR(MIN(1,MAX(0,(EOMONTH(Q$4,0)+1-$C16)/(EDATE($C16,$E16)-$C16)))*$F16/12+IF(Q$3=1,$G16/12,0),0))</f>
        <v>0</v>
      </c>
      <c r="R16" s="75">
        <f>IF(R5=1,'GP Triage'!$G$34/'Covid 19'!$C$7,IFERROR(MIN(1,MAX(0,(EOMONTH(R$4,0)+1-$C16)/(EDATE($C16,$E16)-$C16)))*$F16/12+IF(R$3=1,$G16/12,0),0))</f>
        <v>0</v>
      </c>
      <c r="S16" s="75">
        <f>IF(S5=1,'GP Triage'!$G$34/'Covid 19'!$C$7,IFERROR(MIN(1,MAX(0,(EOMONTH(S$4,0)+1-$C16)/(EDATE($C16,$E16)-$C16)))*$F16/12+IF(S$3=1,$G16/12,0),0))</f>
        <v>1911</v>
      </c>
      <c r="T16" s="75">
        <f>IF(T5=1,'GP Triage'!$G$34/'Covid 19'!$C$7,IFERROR(MIN(1,MAX(0,(EOMONTH(T$4,0)+1-$C16)/(EDATE($C16,$E16)-$C16)))*$F16/12+IF(T$3=1,$G16/12,0),0))</f>
        <v>1911</v>
      </c>
      <c r="U16" s="75">
        <f>IF(U5=1,'GP Triage'!$G$34/'Covid 19'!$C$7,IFERROR(MIN(1,MAX(0,(EOMONTH(U$4,0)+1-$C16)/(EDATE($C16,$E16)-$C16)))*$F16/12+IF(U$3=1,$G16/12,0),0))</f>
        <v>1911</v>
      </c>
      <c r="V16" s="75">
        <f>IF(V5=1,'GP Triage'!$G$34/'Covid 19'!$C$7,IFERROR(MIN(1,MAX(0,(EOMONTH(V$4,0)+1-$C16)/(EDATE($C16,$E16)-$C16)))*$F16/12+IF(V$3=1,$G16/12,0),0))</f>
        <v>318.5</v>
      </c>
      <c r="W16" s="75">
        <f>IF(W5=1,'GP Triage'!$G$34/'Covid 19'!$C$7,IFERROR(MIN(1,MAX(0,(EOMONTH(W$4,0)+1-$C16)/(EDATE($C16,$E16)-$C16)))*$F16/12+IF(W$3=1,$G16/12,0),0))</f>
        <v>318.5</v>
      </c>
      <c r="X16" s="75">
        <f>IF(X5=1,'GP Triage'!$G$34/'Covid 19'!$C$7,IFERROR(MIN(1,MAX(0,(EOMONTH(X$4,0)+1-$C16)/(EDATE($C16,$E16)-$C16)))*$F16/12+IF(X$3=1,$G16/12,0),0))</f>
        <v>318.5</v>
      </c>
      <c r="Y16" s="75">
        <f>IF(Y5=1,'GP Triage'!$G$34/'Covid 19'!$C$7,IFERROR(MIN(1,MAX(0,(EOMONTH(Y$4,0)+1-$C16)/(EDATE($C16,$E16)-$C16)))*$F16/12+IF(Y$3=1,$G16/12,0),0))</f>
        <v>318.5</v>
      </c>
      <c r="Z16" s="75">
        <f>IF(Z5=1,'GP Triage'!$G$34/'Covid 19'!$C$7,IFERROR(MIN(1,MAX(0,(EOMONTH(Z$4,0)+1-$C16)/(EDATE($C16,$E16)-$C16)))*$F16/12+IF(Z$3=1,$G16/12,0),0))</f>
        <v>318.5</v>
      </c>
      <c r="AA16" s="75">
        <f>IF(AA5=1,'GP Triage'!$G$34/'Covid 19'!$C$7,IFERROR(MIN(1,MAX(0,(EOMONTH(AA$4,0)+1-$C16)/(EDATE($C16,$E16)-$C16)))*$F16/12+IF(AA$3=1,$G16/12,0),0))</f>
        <v>318.5</v>
      </c>
      <c r="AB16" s="75">
        <f>IF(AB5=1,'GP Triage'!$G$34/'Covid 19'!$C$7,IFERROR(MIN(1,MAX(0,(EOMONTH(AB$4,0)+1-$C16)/(EDATE($C16,$E16)-$C16)))*$F16/12+IF(AB$3=1,$G16/12,0),0))</f>
        <v>318.5</v>
      </c>
      <c r="AC16" s="75">
        <f>IF(AC5=1,'GP Triage'!$G$34/'Covid 19'!$C$7,IFERROR(MIN(1,MAX(0,(EOMONTH(AC$4,0)+1-$C16)/(EDATE($C16,$E16)-$C16)))*$F16/12+IF(AC$3=1,$G16/12,0),0))</f>
        <v>318.5</v>
      </c>
      <c r="AD16" s="75">
        <f>IF(AD5=1,'GP Triage'!$G$34/'Covid 19'!$C$7,IFERROR(MIN(1,MAX(0,(EOMONTH(AD$4,0)+1-$C16)/(EDATE($C16,$E16)-$C16)))*$F16/12+IF(AD$3=1,$G16/12,0),0))</f>
        <v>318.5</v>
      </c>
      <c r="AE16" s="75">
        <f>IF(AE5=1,'GP Triage'!$G$34/'Covid 19'!$C$7,IFERROR(MIN(1,MAX(0,(EOMONTH(AE$4,0)+1-$C16)/(EDATE($C16,$E16)-$C16)))*$F16/12+IF(AE$3=1,$G16/12,0),0))</f>
        <v>318.5</v>
      </c>
      <c r="AF16" s="75">
        <f>IF(AF5=1,'GP Triage'!$G$34/'Covid 19'!$C$7,IFERROR(MIN(1,MAX(0,(EOMONTH(AF$4,0)+1-$C16)/(EDATE($C16,$E16)-$C16)))*$F16/12+IF(AF$3=1,$G16/12,0),0))</f>
        <v>318.5</v>
      </c>
      <c r="AG16" s="75">
        <f>IF(AG5=1,'GP Triage'!$G$34/'Covid 19'!$C$7,IFERROR(MIN(1,MAX(0,(EOMONTH(AG$4,0)+1-$C16)/(EDATE($C16,$E16)-$C16)))*$F16/12+IF(AG$3=1,$G16/12,0),0))</f>
        <v>318.5</v>
      </c>
      <c r="AH16" s="75">
        <f>IF(AH5=1,'GP Triage'!$G$34/'Covid 19'!$C$7,IFERROR(MIN(1,MAX(0,(EOMONTH(AH$4,0)+1-$C16)/(EDATE($C16,$E16)-$C16)))*$F16/12+IF(AH$3=1,$G16/12,0),0))</f>
        <v>318.5</v>
      </c>
      <c r="AI16" s="75">
        <f>IF(AI5=1,'GP Triage'!$G$34/'Covid 19'!$C$7,IFERROR(MIN(1,MAX(0,(EOMONTH(AI$4,0)+1-$C16)/(EDATE($C16,$E16)-$C16)))*$F16/12+IF(AI$3=1,$G16/12,0),0))</f>
        <v>318.5</v>
      </c>
      <c r="AJ16" s="75">
        <f>IF(AJ5=1,'GP Triage'!$G$34/'Covid 19'!$C$7,IFERROR(MIN(1,MAX(0,(EOMONTH(AJ$4,0)+1-$C16)/(EDATE($C16,$E16)-$C16)))*$F16/12+IF(AJ$3=1,$G16/12,0),0))</f>
        <v>318.5</v>
      </c>
      <c r="AK16" s="75">
        <f>IF(AK5=1,'GP Triage'!$G$34/'Covid 19'!$C$7,IFERROR(MIN(1,MAX(0,(EOMONTH(AK$4,0)+1-$C16)/(EDATE($C16,$E16)-$C16)))*$F16/12+IF(AK$3=1,$G16/12,0),0))</f>
        <v>318.5</v>
      </c>
      <c r="AL16" s="75">
        <f>IF(AL5=1,'GP Triage'!$G$34/'Covid 19'!$C$7,IFERROR(MIN(1,MAX(0,(EOMONTH(AL$4,0)+1-$C16)/(EDATE($C16,$E16)-$C16)))*$F16/12+IF(AL$3=1,$G16/12,0),0))</f>
        <v>318.5</v>
      </c>
      <c r="AM16" s="75">
        <f>IF(AM5=1,'GP Triage'!$G$34/'Covid 19'!$C$7,IFERROR(MIN(1,MAX(0,(EOMONTH(AM$4,0)+1-$C16)/(EDATE($C16,$E16)-$C16)))*$F16/12+IF(AM$3=1,$G16/12,0),0))</f>
        <v>318.5</v>
      </c>
      <c r="AN16" s="75">
        <f>IF(AN5=1,'GP Triage'!$G$34/'Covid 19'!$C$7,IFERROR(MIN(1,MAX(0,(EOMONTH(AN$4,0)+1-$C16)/(EDATE($C16,$E16)-$C16)))*$F16/12+IF(AN$3=1,$G16/12,0),0))</f>
        <v>318.5</v>
      </c>
      <c r="AO16" s="75">
        <f>IF(AO5=1,'GP Triage'!$G$34/'Covid 19'!$C$7,IFERROR(MIN(1,MAX(0,(EOMONTH(AO$4,0)+1-$C16)/(EDATE($C16,$E16)-$C16)))*$F16/12+IF(AO$3=1,$G16/12,0),0))</f>
        <v>318.5</v>
      </c>
      <c r="AP16" s="75">
        <f>IF(AP5=1,'GP Triage'!$G$34/'Covid 19'!$C$7,IFERROR(MIN(1,MAX(0,(EOMONTH(AP$4,0)+1-$C16)/(EDATE($C16,$E16)-$C16)))*$F16/12+IF(AP$3=1,$G16/12,0),0))</f>
        <v>318.5</v>
      </c>
      <c r="AQ16" s="75">
        <f>IF(AQ5=1,'GP Triage'!$G$34/'Covid 19'!$C$7,IFERROR(MIN(1,MAX(0,(EOMONTH(AQ$4,0)+1-$C16)/(EDATE($C16,$E16)-$C16)))*$F16/12+IF(AQ$3=1,$G16/12,0),0))</f>
        <v>318.5</v>
      </c>
      <c r="AR16" s="75">
        <f>IF(AR5=1,'GP Triage'!$G$34/'Covid 19'!$C$7,IFERROR(MIN(1,MAX(0,(EOMONTH(AR$4,0)+1-$C16)/(EDATE($C16,$E16)-$C16)))*$F16/12+IF(AR$3=1,$G16/12,0),0))</f>
        <v>318.5</v>
      </c>
      <c r="AS16" s="75">
        <f>IF(AS5=1,'GP Triage'!$G$34/'Covid 19'!$C$7,IFERROR(MIN(1,MAX(0,(EOMONTH(AS$4,0)+1-$C16)/(EDATE($C16,$E16)-$C16)))*$F16/12+IF(AS$3=1,$G16/12,0),0))</f>
        <v>318.5</v>
      </c>
      <c r="AT16" s="75">
        <f>IF(AT5=1,'GP Triage'!$G$34/'Covid 19'!$C$7,IFERROR(MIN(1,MAX(0,(EOMONTH(AT$4,0)+1-$C16)/(EDATE($C16,$E16)-$C16)))*$F16/12+IF(AT$3=1,$G16/12,0),0))</f>
        <v>318.5</v>
      </c>
      <c r="AU16" s="75">
        <f>IF(AU5=1,'GP Triage'!$G$34/'Covid 19'!$C$7,IFERROR(MIN(1,MAX(0,(EOMONTH(AU$4,0)+1-$C16)/(EDATE($C16,$E16)-$C16)))*$F16/12+IF(AU$3=1,$G16/12,0),0))</f>
        <v>318.5</v>
      </c>
      <c r="AV16" s="75">
        <f>IF(AV5=1,'GP Triage'!$G$34/'Covid 19'!$C$7,IFERROR(MIN(1,MAX(0,(EOMONTH(AV$4,0)+1-$C16)/(EDATE($C16,$E16)-$C16)))*$F16/12+IF(AV$3=1,$G16/12,0),0))</f>
        <v>318.5</v>
      </c>
      <c r="AW16" s="75">
        <f>IF(AW5=1,'GP Triage'!$G$34/'Covid 19'!$C$7,IFERROR(MIN(1,MAX(0,(EOMONTH(AW$4,0)+1-$C16)/(EDATE($C16,$E16)-$C16)))*$F16/12+IF(AW$3=1,$G16/12,0),0))</f>
        <v>318.5</v>
      </c>
      <c r="AX16" s="75">
        <f>IF(AX5=1,'GP Triage'!$G$34/'Covid 19'!$C$7,IFERROR(MIN(1,MAX(0,(EOMONTH(AX$4,0)+1-$C16)/(EDATE($C16,$E16)-$C16)))*$F16/12+IF(AX$3=1,$G16/12,0),0))</f>
        <v>318.5</v>
      </c>
      <c r="AY16" s="75">
        <f>IF(AY5=1,'GP Triage'!$G$34/'Covid 19'!$C$7,IFERROR(MIN(1,MAX(0,(EOMONTH(AY$4,0)+1-$C16)/(EDATE($C16,$E16)-$C16)))*$F16/12+IF(AY$3=1,$G16/12,0),0))</f>
        <v>318.5</v>
      </c>
      <c r="AZ16" s="75">
        <f>IF(AZ5=1,'GP Triage'!$G$34/'Covid 19'!$C$7,IFERROR(MIN(1,MAX(0,(EOMONTH(AZ$4,0)+1-$C16)/(EDATE($C16,$E16)-$C16)))*$F16/12+IF(AZ$3=1,$G16/12,0),0))</f>
        <v>318.5</v>
      </c>
      <c r="BA16" s="75">
        <f>IF(BA5=1,'GP Triage'!$G$34/'Covid 19'!$C$7,IFERROR(MIN(1,MAX(0,(EOMONTH(BA$4,0)+1-$C16)/(EDATE($C16,$E16)-$C16)))*$F16/12+IF(BA$3=1,$G16/12,0),0))</f>
        <v>318.5</v>
      </c>
      <c r="BB16" s="75">
        <f>IF(BB5=1,'GP Triage'!$G$34/'Covid 19'!$C$7,IFERROR(MIN(1,MAX(0,(EOMONTH(BB$4,0)+1-$C16)/(EDATE($C16,$E16)-$C16)))*$F16/12+IF(BB$3=1,$G16/12,0),0))</f>
        <v>318.5</v>
      </c>
      <c r="BC16" s="75">
        <f>IF(BC5=1,'GP Triage'!$G$34/'Covid 19'!$C$7,IFERROR(MIN(1,MAX(0,(EOMONTH(BC$4,0)+1-$C16)/(EDATE($C16,$E16)-$C16)))*$F16/12+IF(BC$3=1,$G16/12,0),0))</f>
        <v>318.5</v>
      </c>
      <c r="BE16" s="75">
        <f t="shared" si="7"/>
        <v>1911</v>
      </c>
      <c r="BF16" s="75">
        <f t="shared" si="7"/>
        <v>7007</v>
      </c>
      <c r="BG16" s="75">
        <f t="shared" si="7"/>
        <v>3822</v>
      </c>
      <c r="BH16" s="75">
        <f t="shared" si="7"/>
        <v>3822</v>
      </c>
    </row>
    <row r="18" spans="2:60" ht="21" customHeight="1" x14ac:dyDescent="0.3">
      <c r="B18" s="58" t="s">
        <v>30</v>
      </c>
      <c r="C18" s="53" t="s">
        <v>37</v>
      </c>
      <c r="D18" s="53" t="s">
        <v>115</v>
      </c>
      <c r="E18" s="53" t="s">
        <v>38</v>
      </c>
      <c r="F18" s="53" t="s">
        <v>39</v>
      </c>
      <c r="G18" s="53" t="s">
        <v>215</v>
      </c>
      <c r="H18" s="59">
        <f>H$4</f>
        <v>43585</v>
      </c>
      <c r="I18" s="59">
        <f t="shared" ref="I18:BC18" si="11">I$4</f>
        <v>43616</v>
      </c>
      <c r="J18" s="59">
        <f t="shared" si="11"/>
        <v>43646</v>
      </c>
      <c r="K18" s="59">
        <f t="shared" si="11"/>
        <v>43677</v>
      </c>
      <c r="L18" s="59">
        <f t="shared" si="11"/>
        <v>43708</v>
      </c>
      <c r="M18" s="59">
        <f t="shared" si="11"/>
        <v>43738</v>
      </c>
      <c r="N18" s="59">
        <f t="shared" si="11"/>
        <v>43769</v>
      </c>
      <c r="O18" s="59">
        <f t="shared" si="11"/>
        <v>43799</v>
      </c>
      <c r="P18" s="59">
        <f t="shared" si="11"/>
        <v>43830</v>
      </c>
      <c r="Q18" s="59">
        <f t="shared" si="11"/>
        <v>43861</v>
      </c>
      <c r="R18" s="59">
        <f t="shared" si="11"/>
        <v>43890</v>
      </c>
      <c r="S18" s="59">
        <f t="shared" si="11"/>
        <v>43921</v>
      </c>
      <c r="T18" s="59">
        <f t="shared" si="11"/>
        <v>43951</v>
      </c>
      <c r="U18" s="59">
        <f t="shared" si="11"/>
        <v>43982</v>
      </c>
      <c r="V18" s="59">
        <f t="shared" si="11"/>
        <v>44012</v>
      </c>
      <c r="W18" s="59">
        <f t="shared" si="11"/>
        <v>44043</v>
      </c>
      <c r="X18" s="59">
        <f t="shared" si="11"/>
        <v>44074</v>
      </c>
      <c r="Y18" s="59">
        <f t="shared" si="11"/>
        <v>44104</v>
      </c>
      <c r="Z18" s="59">
        <f t="shared" si="11"/>
        <v>44135</v>
      </c>
      <c r="AA18" s="59">
        <f t="shared" si="11"/>
        <v>44165</v>
      </c>
      <c r="AB18" s="59">
        <f t="shared" si="11"/>
        <v>44196</v>
      </c>
      <c r="AC18" s="59">
        <f t="shared" si="11"/>
        <v>44227</v>
      </c>
      <c r="AD18" s="59">
        <f t="shared" si="11"/>
        <v>44255</v>
      </c>
      <c r="AE18" s="59">
        <f t="shared" si="11"/>
        <v>44286</v>
      </c>
      <c r="AF18" s="59">
        <f t="shared" si="11"/>
        <v>44316</v>
      </c>
      <c r="AG18" s="59">
        <f t="shared" si="11"/>
        <v>44347</v>
      </c>
      <c r="AH18" s="59">
        <f t="shared" si="11"/>
        <v>44377</v>
      </c>
      <c r="AI18" s="59">
        <f t="shared" si="11"/>
        <v>44408</v>
      </c>
      <c r="AJ18" s="59">
        <f t="shared" si="11"/>
        <v>44439</v>
      </c>
      <c r="AK18" s="59">
        <f t="shared" si="11"/>
        <v>44469</v>
      </c>
      <c r="AL18" s="59">
        <f t="shared" si="11"/>
        <v>44500</v>
      </c>
      <c r="AM18" s="59">
        <f t="shared" si="11"/>
        <v>44530</v>
      </c>
      <c r="AN18" s="59">
        <f t="shared" si="11"/>
        <v>44561</v>
      </c>
      <c r="AO18" s="59">
        <f t="shared" si="11"/>
        <v>44592</v>
      </c>
      <c r="AP18" s="59">
        <f t="shared" si="11"/>
        <v>44620</v>
      </c>
      <c r="AQ18" s="59">
        <f t="shared" si="11"/>
        <v>44651</v>
      </c>
      <c r="AR18" s="59">
        <f t="shared" si="11"/>
        <v>44681</v>
      </c>
      <c r="AS18" s="59">
        <f t="shared" si="11"/>
        <v>44712</v>
      </c>
      <c r="AT18" s="59">
        <f t="shared" si="11"/>
        <v>44742</v>
      </c>
      <c r="AU18" s="59">
        <f t="shared" si="11"/>
        <v>44773</v>
      </c>
      <c r="AV18" s="59">
        <f t="shared" si="11"/>
        <v>44804</v>
      </c>
      <c r="AW18" s="59">
        <f t="shared" si="11"/>
        <v>44834</v>
      </c>
      <c r="AX18" s="59">
        <f t="shared" si="11"/>
        <v>44865</v>
      </c>
      <c r="AY18" s="59">
        <f t="shared" si="11"/>
        <v>44895</v>
      </c>
      <c r="AZ18" s="59">
        <f t="shared" si="11"/>
        <v>44926</v>
      </c>
      <c r="BA18" s="59">
        <f t="shared" si="11"/>
        <v>44957</v>
      </c>
      <c r="BB18" s="59">
        <f t="shared" si="11"/>
        <v>44985</v>
      </c>
      <c r="BC18" s="59">
        <f t="shared" si="11"/>
        <v>45016</v>
      </c>
      <c r="BE18" s="71">
        <f>BE$3</f>
        <v>1</v>
      </c>
      <c r="BF18" s="71">
        <f>BF$3</f>
        <v>2</v>
      </c>
      <c r="BG18" s="71">
        <f>BG$3</f>
        <v>3</v>
      </c>
      <c r="BH18" s="71">
        <f>BH$3</f>
        <v>4</v>
      </c>
    </row>
    <row r="19" spans="2:60" ht="21" customHeight="1" x14ac:dyDescent="0.3">
      <c r="B19" s="60" t="s">
        <v>391</v>
      </c>
      <c r="C19" s="48">
        <f>'Covid 19'!C6</f>
        <v>43891</v>
      </c>
      <c r="D19" s="48">
        <f>EOMONTH(C19,'Covid 19'!C7-1)</f>
        <v>43982</v>
      </c>
      <c r="E19" s="47">
        <v>1</v>
      </c>
      <c r="F19" s="75">
        <f>IF('Covid 19'!$C$3="No","",'Covid 19'!C46*12)</f>
        <v>-201600</v>
      </c>
      <c r="G19" s="75"/>
      <c r="H19" s="161">
        <f>IF(H$4&gt;$D19,0,IFERROR(MIN(1,MAX(0,(EOMONTH(H$4,0)+1-$C19)/(EDATE($C19,$E19)-$C19)))*$F19/12,0))+IF(EOMONTH('Covid 19'!$C$6,0)=Projection!H4,$G$19,0)</f>
        <v>0</v>
      </c>
      <c r="I19" s="161">
        <f>IF(I$4&gt;$D19,0,IFERROR(MIN(1,MAX(0,(EOMONTH(I$4,0)+1-$C19)/(EDATE($C19,$E19)-$C19)))*$F19/12,0))+IF(EOMONTH('Covid 19'!$C$6,0)=Projection!I4,$G$19,0)</f>
        <v>0</v>
      </c>
      <c r="J19" s="161">
        <f>IF(J$4&gt;$D19,0,IFERROR(MIN(1,MAX(0,(EOMONTH(J$4,0)+1-$C19)/(EDATE($C19,$E19)-$C19)))*$F19/12,0))+IF(EOMONTH('Covid 19'!$C$6,0)=Projection!J4,$G$19,0)</f>
        <v>0</v>
      </c>
      <c r="K19" s="161">
        <f>IF(K$4&gt;$D19,0,IFERROR(MIN(1,MAX(0,(EOMONTH(K$4,0)+1-$C19)/(EDATE($C19,$E19)-$C19)))*$F19/12,0))+IF(EOMONTH('Covid 19'!$C$6,0)=Projection!K4,$G$19,0)</f>
        <v>0</v>
      </c>
      <c r="L19" s="161">
        <f>IF(L$4&gt;$D19,0,IFERROR(MIN(1,MAX(0,(EOMONTH(L$4,0)+1-$C19)/(EDATE($C19,$E19)-$C19)))*$F19/12,0))+IF(EOMONTH('Covid 19'!$C$6,0)=Projection!L4,$G$19,0)</f>
        <v>0</v>
      </c>
      <c r="M19" s="161">
        <f>IF(M$4&gt;$D19,0,IFERROR(MIN(1,MAX(0,(EOMONTH(M$4,0)+1-$C19)/(EDATE($C19,$E19)-$C19)))*$F19/12,0))+IF(EOMONTH('Covid 19'!$C$6,0)=Projection!M4,$G$19,0)</f>
        <v>0</v>
      </c>
      <c r="N19" s="161">
        <f>IF(N$4&gt;$D19,0,IFERROR(MIN(1,MAX(0,(EOMONTH(N$4,0)+1-$C19)/(EDATE($C19,$E19)-$C19)))*$F19/12,0))+IF(EOMONTH('Covid 19'!$C$6,0)=Projection!N4,$G$19,0)</f>
        <v>0</v>
      </c>
      <c r="O19" s="161">
        <f>IF(O$4&gt;$D19,0,IFERROR(MIN(1,MAX(0,(EOMONTH(O$4,0)+1-$C19)/(EDATE($C19,$E19)-$C19)))*$F19/12,0))+IF(EOMONTH('Covid 19'!$C$6,0)=Projection!O4,$G$19,0)</f>
        <v>0</v>
      </c>
      <c r="P19" s="161">
        <f>IF(P$4&gt;$D19,0,IFERROR(MIN(1,MAX(0,(EOMONTH(P$4,0)+1-$C19)/(EDATE($C19,$E19)-$C19)))*$F19/12,0))+IF(EOMONTH('Covid 19'!$C$6,0)=Projection!P4,$G$19,0)</f>
        <v>0</v>
      </c>
      <c r="Q19" s="161">
        <f>IF(Q$4&gt;$D19,0,IFERROR(MIN(1,MAX(0,(EOMONTH(Q$4,0)+1-$C19)/(EDATE($C19,$E19)-$C19)))*$F19/12,0))+IF(EOMONTH('Covid 19'!$C$6,0)=Projection!Q4,$G$19,0)</f>
        <v>0</v>
      </c>
      <c r="R19" s="161">
        <f>IF(R$4&gt;$D19,0,IFERROR(MIN(1,MAX(0,(EOMONTH(R$4,0)+1-$C19)/(EDATE($C19,$E19)-$C19)))*$F19/12,0))+IF(EOMONTH('Covid 19'!$C$6,0)=Projection!R4,$G$19,0)</f>
        <v>0</v>
      </c>
      <c r="S19" s="161">
        <f>IF(S$4&gt;$D19,0,IFERROR(MIN(1,MAX(0,(EOMONTH(S$4,0)+1-$C19)/(EDATE($C19,$E19)-$C19)))*$F19/12,0))+IF(EOMONTH('Covid 19'!$C$6,0)=Projection!S4,$G$19,0)</f>
        <v>-16800</v>
      </c>
      <c r="T19" s="161">
        <f>IF(T$4&gt;$D19,0,IFERROR(MIN(1,MAX(0,(EOMONTH(T$4,0)+1-$C19)/(EDATE($C19,$E19)-$C19)))*$F19/12,0))+IF(EOMONTH('Covid 19'!$C$6,0)=Projection!T4,$G$19,0)</f>
        <v>-16800</v>
      </c>
      <c r="U19" s="161">
        <f>IF(U$4&gt;$D19,0,IFERROR(MIN(1,MAX(0,(EOMONTH(U$4,0)+1-$C19)/(EDATE($C19,$E19)-$C19)))*$F19/12,0))+IF(EOMONTH('Covid 19'!$C$6,0)=Projection!U4,$G$19,0)</f>
        <v>-16800</v>
      </c>
      <c r="V19" s="161">
        <f>IF(V$4&gt;$D19,0,IFERROR(MIN(1,MAX(0,(EOMONTH(V$4,0)+1-$C19)/(EDATE($C19,$E19)-$C19)))*$F19/12,0))+IF(EOMONTH('Covid 19'!$C$6,0)=Projection!V4,$G$19,0)</f>
        <v>0</v>
      </c>
      <c r="W19" s="161">
        <f>IF(W$4&gt;$D19,0,IFERROR(MIN(1,MAX(0,(EOMONTH(W$4,0)+1-$C19)/(EDATE($C19,$E19)-$C19)))*$F19/12,0))+IF(EOMONTH('Covid 19'!$C$6,0)=Projection!W4,$G$19,0)</f>
        <v>0</v>
      </c>
      <c r="X19" s="161">
        <f>IF(X$4&gt;$D19,0,IFERROR(MIN(1,MAX(0,(EOMONTH(X$4,0)+1-$C19)/(EDATE($C19,$E19)-$C19)))*$F19/12,0))+IF(EOMONTH('Covid 19'!$C$6,0)=Projection!X4,$G$19,0)</f>
        <v>0</v>
      </c>
      <c r="Y19" s="161">
        <f>IF(Y$4&gt;$D19,0,IFERROR(MIN(1,MAX(0,(EOMONTH(Y$4,0)+1-$C19)/(EDATE($C19,$E19)-$C19)))*$F19/12,0))+IF(EOMONTH('Covid 19'!$C$6,0)=Projection!Y4,$G$19,0)</f>
        <v>0</v>
      </c>
      <c r="Z19" s="161">
        <f>IF(Z$4&gt;$D19,0,IFERROR(MIN(1,MAX(0,(EOMONTH(Z$4,0)+1-$C19)/(EDATE($C19,$E19)-$C19)))*$F19/12,0))+IF(EOMONTH('Covid 19'!$C$6,0)=Projection!Z4,$G$19,0)</f>
        <v>0</v>
      </c>
      <c r="AA19" s="161">
        <f>IF(AA$4&gt;$D19,0,IFERROR(MIN(1,MAX(0,(EOMONTH(AA$4,0)+1-$C19)/(EDATE($C19,$E19)-$C19)))*$F19/12,0))+IF(EOMONTH('Covid 19'!$C$6,0)=Projection!AA4,$G$19,0)</f>
        <v>0</v>
      </c>
      <c r="AB19" s="161">
        <f>IF(AB$4&gt;$D19,0,IFERROR(MIN(1,MAX(0,(EOMONTH(AB$4,0)+1-$C19)/(EDATE($C19,$E19)-$C19)))*$F19/12,0))+IF(EOMONTH('Covid 19'!$C$6,0)=Projection!AB4,$G$19,0)</f>
        <v>0</v>
      </c>
      <c r="AC19" s="161">
        <f>IF(AC$4&gt;$D19,0,IFERROR(MIN(1,MAX(0,(EOMONTH(AC$4,0)+1-$C19)/(EDATE($C19,$E19)-$C19)))*$F19/12,0))+IF(EOMONTH('Covid 19'!$C$6,0)=Projection!AC4,$G$19,0)</f>
        <v>0</v>
      </c>
      <c r="AD19" s="161">
        <f>IF(AD$4&gt;$D19,0,IFERROR(MIN(1,MAX(0,(EOMONTH(AD$4,0)+1-$C19)/(EDATE($C19,$E19)-$C19)))*$F19/12,0))+IF(EOMONTH('Covid 19'!$C$6,0)=Projection!AD4,$G$19,0)</f>
        <v>0</v>
      </c>
      <c r="AE19" s="161">
        <f>IF(AE$4&gt;$D19,0,IFERROR(MIN(1,MAX(0,(EOMONTH(AE$4,0)+1-$C19)/(EDATE($C19,$E19)-$C19)))*$F19/12,0))+IF(EOMONTH('Covid 19'!$C$6,0)=Projection!AE4,$G$19,0)</f>
        <v>0</v>
      </c>
      <c r="AF19" s="161">
        <f>IF(AF$4&gt;$D19,0,IFERROR(MIN(1,MAX(0,(EOMONTH(AF$4,0)+1-$C19)/(EDATE($C19,$E19)-$C19)))*$F19/12,0))+IF(EOMONTH('Covid 19'!$C$6,0)=Projection!AF4,$G$19,0)</f>
        <v>0</v>
      </c>
      <c r="AG19" s="161">
        <f>IF(AG$4&gt;$D19,0,IFERROR(MIN(1,MAX(0,(EOMONTH(AG$4,0)+1-$C19)/(EDATE($C19,$E19)-$C19)))*$F19/12,0))+IF(EOMONTH('Covid 19'!$C$6,0)=Projection!AG4,$G$19,0)</f>
        <v>0</v>
      </c>
      <c r="AH19" s="161">
        <f>IF(AH$4&gt;$D19,0,IFERROR(MIN(1,MAX(0,(EOMONTH(AH$4,0)+1-$C19)/(EDATE($C19,$E19)-$C19)))*$F19/12,0))+IF(EOMONTH('Covid 19'!$C$6,0)=Projection!AH4,$G$19,0)</f>
        <v>0</v>
      </c>
      <c r="AI19" s="161">
        <f>IF(AI$4&gt;$D19,0,IFERROR(MIN(1,MAX(0,(EOMONTH(AI$4,0)+1-$C19)/(EDATE($C19,$E19)-$C19)))*$F19/12,0))+IF(EOMONTH('Covid 19'!$C$6,0)=Projection!AI4,$G$19,0)</f>
        <v>0</v>
      </c>
      <c r="AJ19" s="161">
        <f>IF(AJ$4&gt;$D19,0,IFERROR(MIN(1,MAX(0,(EOMONTH(AJ$4,0)+1-$C19)/(EDATE($C19,$E19)-$C19)))*$F19/12,0))+IF(EOMONTH('Covid 19'!$C$6,0)=Projection!AJ4,$G$19,0)</f>
        <v>0</v>
      </c>
      <c r="AK19" s="161">
        <f>IF(AK$4&gt;$D19,0,IFERROR(MIN(1,MAX(0,(EOMONTH(AK$4,0)+1-$C19)/(EDATE($C19,$E19)-$C19)))*$F19/12,0))+IF(EOMONTH('Covid 19'!$C$6,0)=Projection!AK4,$G$19,0)</f>
        <v>0</v>
      </c>
      <c r="AL19" s="161">
        <f>IF(AL$4&gt;$D19,0,IFERROR(MIN(1,MAX(0,(EOMONTH(AL$4,0)+1-$C19)/(EDATE($C19,$E19)-$C19)))*$F19/12,0))+IF(EOMONTH('Covid 19'!$C$6,0)=Projection!AL4,$G$19,0)</f>
        <v>0</v>
      </c>
      <c r="AM19" s="161">
        <f>IF(AM$4&gt;$D19,0,IFERROR(MIN(1,MAX(0,(EOMONTH(AM$4,0)+1-$C19)/(EDATE($C19,$E19)-$C19)))*$F19/12,0))+IF(EOMONTH('Covid 19'!$C$6,0)=Projection!AM4,$G$19,0)</f>
        <v>0</v>
      </c>
      <c r="AN19" s="161">
        <f>IF(AN$4&gt;$D19,0,IFERROR(MIN(1,MAX(0,(EOMONTH(AN$4,0)+1-$C19)/(EDATE($C19,$E19)-$C19)))*$F19/12,0))+IF(EOMONTH('Covid 19'!$C$6,0)=Projection!AN4,$G$19,0)</f>
        <v>0</v>
      </c>
      <c r="AO19" s="161">
        <f>IF(AO$4&gt;$D19,0,IFERROR(MIN(1,MAX(0,(EOMONTH(AO$4,0)+1-$C19)/(EDATE($C19,$E19)-$C19)))*$F19/12,0))+IF(EOMONTH('Covid 19'!$C$6,0)=Projection!AO4,$G$19,0)</f>
        <v>0</v>
      </c>
      <c r="AP19" s="161">
        <f>IF(AP$4&gt;$D19,0,IFERROR(MIN(1,MAX(0,(EOMONTH(AP$4,0)+1-$C19)/(EDATE($C19,$E19)-$C19)))*$F19/12,0))+IF(EOMONTH('Covid 19'!$C$6,0)=Projection!AP4,$G$19,0)</f>
        <v>0</v>
      </c>
      <c r="AQ19" s="161">
        <f>IF(AQ$4&gt;$D19,0,IFERROR(MIN(1,MAX(0,(EOMONTH(AQ$4,0)+1-$C19)/(EDATE($C19,$E19)-$C19)))*$F19/12,0))+IF(EOMONTH('Covid 19'!$C$6,0)=Projection!AQ4,$G$19,0)</f>
        <v>0</v>
      </c>
      <c r="AR19" s="161">
        <f>IF(AR$4&gt;$D19,0,IFERROR(MIN(1,MAX(0,(EOMONTH(AR$4,0)+1-$C19)/(EDATE($C19,$E19)-$C19)))*$F19/12,0))+IF(EOMONTH('Covid 19'!$C$6,0)=Projection!AR4,$G$19,0)</f>
        <v>0</v>
      </c>
      <c r="AS19" s="161">
        <f>IF(AS$4&gt;$D19,0,IFERROR(MIN(1,MAX(0,(EOMONTH(AS$4,0)+1-$C19)/(EDATE($C19,$E19)-$C19)))*$F19/12,0))+IF(EOMONTH('Covid 19'!$C$6,0)=Projection!AS4,$G$19,0)</f>
        <v>0</v>
      </c>
      <c r="AT19" s="161">
        <f>IF(AT$4&gt;$D19,0,IFERROR(MIN(1,MAX(0,(EOMONTH(AT$4,0)+1-$C19)/(EDATE($C19,$E19)-$C19)))*$F19/12,0))+IF(EOMONTH('Covid 19'!$C$6,0)=Projection!AT4,$G$19,0)</f>
        <v>0</v>
      </c>
      <c r="AU19" s="161">
        <f>IF(AU$4&gt;$D19,0,IFERROR(MIN(1,MAX(0,(EOMONTH(AU$4,0)+1-$C19)/(EDATE($C19,$E19)-$C19)))*$F19/12,0))+IF(EOMONTH('Covid 19'!$C$6,0)=Projection!AU4,$G$19,0)</f>
        <v>0</v>
      </c>
      <c r="AV19" s="161">
        <f>IF(AV$4&gt;$D19,0,IFERROR(MIN(1,MAX(0,(EOMONTH(AV$4,0)+1-$C19)/(EDATE($C19,$E19)-$C19)))*$F19/12,0))+IF(EOMONTH('Covid 19'!$C$6,0)=Projection!AV4,$G$19,0)</f>
        <v>0</v>
      </c>
      <c r="AW19" s="161">
        <f>IF(AW$4&gt;$D19,0,IFERROR(MIN(1,MAX(0,(EOMONTH(AW$4,0)+1-$C19)/(EDATE($C19,$E19)-$C19)))*$F19/12,0))+IF(EOMONTH('Covid 19'!$C$6,0)=Projection!AW4,$G$19,0)</f>
        <v>0</v>
      </c>
      <c r="AX19" s="161">
        <f>IF(AX$4&gt;$D19,0,IFERROR(MIN(1,MAX(0,(EOMONTH(AX$4,0)+1-$C19)/(EDATE($C19,$E19)-$C19)))*$F19/12,0))+IF(EOMONTH('Covid 19'!$C$6,0)=Projection!AX4,$G$19,0)</f>
        <v>0</v>
      </c>
      <c r="AY19" s="161">
        <f>IF(AY$4&gt;$D19,0,IFERROR(MIN(1,MAX(0,(EOMONTH(AY$4,0)+1-$C19)/(EDATE($C19,$E19)-$C19)))*$F19/12,0))+IF(EOMONTH('Covid 19'!$C$6,0)=Projection!AY4,$G$19,0)</f>
        <v>0</v>
      </c>
      <c r="AZ19" s="161">
        <f>IF(AZ$4&gt;$D19,0,IFERROR(MIN(1,MAX(0,(EOMONTH(AZ$4,0)+1-$C19)/(EDATE($C19,$E19)-$C19)))*$F19/12,0))+IF(EOMONTH('Covid 19'!$C$6,0)=Projection!AZ4,$G$19,0)</f>
        <v>0</v>
      </c>
      <c r="BA19" s="161">
        <f>IF(BA$4&gt;$D19,0,IFERROR(MIN(1,MAX(0,(EOMONTH(BA$4,0)+1-$C19)/(EDATE($C19,$E19)-$C19)))*$F19/12,0))+IF(EOMONTH('Covid 19'!$C$6,0)=Projection!BA4,$G$19,0)</f>
        <v>0</v>
      </c>
      <c r="BB19" s="161">
        <f>IF(BB$4&gt;$D19,0,IFERROR(MIN(1,MAX(0,(EOMONTH(BB$4,0)+1-$C19)/(EDATE($C19,$E19)-$C19)))*$F19/12,0))+IF(EOMONTH('Covid 19'!$C$6,0)=Projection!BB4,$G$19,0)</f>
        <v>0</v>
      </c>
      <c r="BC19" s="161">
        <f>IF(BC$4&gt;$D19,0,IFERROR(MIN(1,MAX(0,(EOMONTH(BC$4,0)+1-$C19)/(EDATE($C19,$E19)-$C19)))*$F19/12,0))+IF(EOMONTH('Covid 19'!$C$6,0)=Projection!BC4,$G$19,0)</f>
        <v>0</v>
      </c>
      <c r="BE19" s="75">
        <f t="shared" ref="BE19:BH36" si="12">SUMIF($H$3:$BD$3,BE$3,$H19:$BD19)</f>
        <v>-16800</v>
      </c>
      <c r="BF19" s="75">
        <f t="shared" ref="BF19:BH33" si="13">SUMIF($H$3:$BD$3,BF$3,$H19:$BD19)</f>
        <v>-33600</v>
      </c>
      <c r="BG19" s="75">
        <f t="shared" si="13"/>
        <v>0</v>
      </c>
      <c r="BH19" s="75">
        <f t="shared" si="13"/>
        <v>0</v>
      </c>
    </row>
    <row r="20" spans="2:60" ht="21" customHeight="1" x14ac:dyDescent="0.3">
      <c r="B20" s="160" t="s">
        <v>392</v>
      </c>
      <c r="C20" s="48">
        <f>D19+1</f>
        <v>43983</v>
      </c>
      <c r="D20" s="48">
        <f>EOMONTH(C20,'Covid 19'!C10-1)</f>
        <v>44165</v>
      </c>
      <c r="E20" s="47">
        <v>1</v>
      </c>
      <c r="F20" s="75">
        <f>IF('Covid 19'!$C$3="No","",'Covid 19'!D46*12)</f>
        <v>-27900</v>
      </c>
      <c r="G20" s="75"/>
      <c r="H20" s="75">
        <f>IF(H$4&gt;$D20,0,IFERROR(MIN(1,MAX(0,(EOMONTH(H$4,0)+1-$C20)/(EDATE($C20,$E20)-$C20)))*$F20/12+IF(H$3=1,$G20/12,0),0))</f>
        <v>0</v>
      </c>
      <c r="I20" s="75">
        <f t="shared" ref="I20:W20" si="14">IF(I$4&gt;$D20,0,IFERROR(MIN(1,MAX(0,(EOMONTH(I$4,0)+1-$C20)/(EDATE($C20,$E20)-$C20)))*$F20/12+IF(I$3=1,$G20/12,0),0))</f>
        <v>0</v>
      </c>
      <c r="J20" s="75">
        <f t="shared" si="14"/>
        <v>0</v>
      </c>
      <c r="K20" s="75">
        <f>IF(K$4&gt;$D20,0,IFERROR(MIN(1,MAX(0,(EOMONTH(K$4,0)+1-$C20)/(EDATE($C20,$E20)-$C20)))*$F20/12+IF(K$3=1,$G20/12,0),0))</f>
        <v>0</v>
      </c>
      <c r="L20" s="75">
        <f t="shared" si="14"/>
        <v>0</v>
      </c>
      <c r="M20" s="75">
        <f t="shared" si="14"/>
        <v>0</v>
      </c>
      <c r="N20" s="75">
        <f t="shared" si="14"/>
        <v>0</v>
      </c>
      <c r="O20" s="75">
        <f t="shared" si="14"/>
        <v>0</v>
      </c>
      <c r="P20" s="75">
        <f t="shared" si="14"/>
        <v>0</v>
      </c>
      <c r="Q20" s="75">
        <f t="shared" si="14"/>
        <v>0</v>
      </c>
      <c r="R20" s="75">
        <f t="shared" si="14"/>
        <v>0</v>
      </c>
      <c r="S20" s="75">
        <f t="shared" si="14"/>
        <v>0</v>
      </c>
      <c r="T20" s="75">
        <f t="shared" si="14"/>
        <v>0</v>
      </c>
      <c r="U20" s="75">
        <f t="shared" si="14"/>
        <v>0</v>
      </c>
      <c r="V20" s="75">
        <f t="shared" si="14"/>
        <v>-2325</v>
      </c>
      <c r="W20" s="75">
        <f t="shared" si="14"/>
        <v>-2325</v>
      </c>
      <c r="X20" s="75">
        <f t="shared" ref="X20:AM20" si="15">IF(X$4&gt;$D20,0,IFERROR(MIN(1,MAX(0,(EOMONTH(X$4,0)+1-$C20)/(EDATE($C20,$E20)-$C20)))*$F20/12+IF(X$3=1,$G20/12,0),0))</f>
        <v>-2325</v>
      </c>
      <c r="Y20" s="75">
        <f t="shared" si="15"/>
        <v>-2325</v>
      </c>
      <c r="Z20" s="75">
        <f t="shared" si="15"/>
        <v>-2325</v>
      </c>
      <c r="AA20" s="75">
        <f t="shared" si="15"/>
        <v>-2325</v>
      </c>
      <c r="AB20" s="75">
        <f t="shared" si="15"/>
        <v>0</v>
      </c>
      <c r="AC20" s="75">
        <f t="shared" si="15"/>
        <v>0</v>
      </c>
      <c r="AD20" s="75">
        <f t="shared" si="15"/>
        <v>0</v>
      </c>
      <c r="AE20" s="75">
        <f t="shared" si="15"/>
        <v>0</v>
      </c>
      <c r="AF20" s="75">
        <f t="shared" si="15"/>
        <v>0</v>
      </c>
      <c r="AG20" s="75">
        <f t="shared" si="15"/>
        <v>0</v>
      </c>
      <c r="AH20" s="75">
        <f t="shared" si="15"/>
        <v>0</v>
      </c>
      <c r="AI20" s="75">
        <f t="shared" si="15"/>
        <v>0</v>
      </c>
      <c r="AJ20" s="75">
        <f t="shared" si="15"/>
        <v>0</v>
      </c>
      <c r="AK20" s="75">
        <f t="shared" si="15"/>
        <v>0</v>
      </c>
      <c r="AL20" s="75">
        <f t="shared" si="15"/>
        <v>0</v>
      </c>
      <c r="AM20" s="75">
        <f t="shared" si="15"/>
        <v>0</v>
      </c>
      <c r="AN20" s="75">
        <f t="shared" ref="AN20:BC20" si="16">IF(AN$4&gt;$D20,0,IFERROR(MIN(1,MAX(0,(EOMONTH(AN$4,0)+1-$C20)/(EDATE($C20,$E20)-$C20)))*$F20/12+IF(AN$3=1,$G20/12,0),0))</f>
        <v>0</v>
      </c>
      <c r="AO20" s="75">
        <f t="shared" si="16"/>
        <v>0</v>
      </c>
      <c r="AP20" s="75">
        <f t="shared" si="16"/>
        <v>0</v>
      </c>
      <c r="AQ20" s="75">
        <f t="shared" si="16"/>
        <v>0</v>
      </c>
      <c r="AR20" s="75">
        <f t="shared" si="16"/>
        <v>0</v>
      </c>
      <c r="AS20" s="75">
        <f t="shared" si="16"/>
        <v>0</v>
      </c>
      <c r="AT20" s="75">
        <f t="shared" si="16"/>
        <v>0</v>
      </c>
      <c r="AU20" s="75">
        <f t="shared" si="16"/>
        <v>0</v>
      </c>
      <c r="AV20" s="75">
        <f t="shared" si="16"/>
        <v>0</v>
      </c>
      <c r="AW20" s="75">
        <f t="shared" si="16"/>
        <v>0</v>
      </c>
      <c r="AX20" s="75">
        <f t="shared" si="16"/>
        <v>0</v>
      </c>
      <c r="AY20" s="75">
        <f t="shared" si="16"/>
        <v>0</v>
      </c>
      <c r="AZ20" s="75">
        <f t="shared" si="16"/>
        <v>0</v>
      </c>
      <c r="BA20" s="75">
        <f t="shared" si="16"/>
        <v>0</v>
      </c>
      <c r="BB20" s="75">
        <f t="shared" si="16"/>
        <v>0</v>
      </c>
      <c r="BC20" s="75">
        <f t="shared" si="16"/>
        <v>0</v>
      </c>
      <c r="BE20" s="75">
        <f t="shared" si="12"/>
        <v>0</v>
      </c>
      <c r="BF20" s="75">
        <f t="shared" si="13"/>
        <v>-13950</v>
      </c>
      <c r="BG20" s="75">
        <f t="shared" si="13"/>
        <v>0</v>
      </c>
      <c r="BH20" s="75">
        <f t="shared" si="13"/>
        <v>0</v>
      </c>
    </row>
    <row r="21" spans="2:60" ht="21" customHeight="1" x14ac:dyDescent="0.3">
      <c r="B21" s="160" t="s">
        <v>394</v>
      </c>
      <c r="C21" s="48">
        <f>'Covid 19'!C6</f>
        <v>43891</v>
      </c>
      <c r="D21" s="48">
        <f>EOMONTH(C19,'Covid 19'!C7-1)</f>
        <v>43982</v>
      </c>
      <c r="E21" s="47">
        <v>1</v>
      </c>
      <c r="F21" s="75">
        <f>IF('Covid 19'!$C$3="No","",'Covid 19'!C48*12)</f>
        <v>19800</v>
      </c>
      <c r="G21" s="75">
        <f>IF('Covid 19'!$C$3="No",0,'Covid 19'!C21)</f>
        <v>36500</v>
      </c>
      <c r="H21" s="161">
        <f>IF(H$4&gt;$D21,0,IFERROR(MIN(1,MAX(0,(EOMONTH(H$4,0)+1-$C21)/(EDATE($C21,$E21)-$C21)))*$F21/12,0))+IF(EOMONTH('Covid 19'!$C$6,0)=Projection!H4,$G$21,0)</f>
        <v>0</v>
      </c>
      <c r="I21" s="161">
        <f>IF(I$4&gt;$D21,0,IFERROR(MIN(1,MAX(0,(EOMONTH(I$4,0)+1-$C21)/(EDATE($C21,$E21)-$C21)))*$F21/12,0))+IF(EOMONTH('Covid 19'!$C$6,0)=Projection!I4,$G$21,0)</f>
        <v>0</v>
      </c>
      <c r="J21" s="161">
        <f>IF(J$4&gt;$D21,0,IFERROR(MIN(1,MAX(0,(EOMONTH(J$4,0)+1-$C21)/(EDATE($C21,$E21)-$C21)))*$F21/12,0))+IF(EOMONTH('Covid 19'!$C$6,0)=Projection!J4,$G$21,0)</f>
        <v>0</v>
      </c>
      <c r="K21" s="161">
        <f>IF(K$4&gt;$D21,0,IFERROR(MIN(1,MAX(0,(EOMONTH(K$4,0)+1-$C21)/(EDATE($C21,$E21)-$C21)))*$F21/12,0))+IF(EOMONTH('Covid 19'!$C$6,0)=Projection!K4,$G$21,0)</f>
        <v>0</v>
      </c>
      <c r="L21" s="161">
        <f>IF(L$4&gt;$D21,0,IFERROR(MIN(1,MAX(0,(EOMONTH(L$4,0)+1-$C21)/(EDATE($C21,$E21)-$C21)))*$F21/12,0))+IF(EOMONTH('Covid 19'!$C$6,0)=Projection!L4,$G$21,0)</f>
        <v>0</v>
      </c>
      <c r="M21" s="161">
        <f>IF(M$4&gt;$D21,0,IFERROR(MIN(1,MAX(0,(EOMONTH(M$4,0)+1-$C21)/(EDATE($C21,$E21)-$C21)))*$F21/12,0))+IF(EOMONTH('Covid 19'!$C$6,0)=Projection!M4,$G$21,0)</f>
        <v>0</v>
      </c>
      <c r="N21" s="161">
        <f>IF(N$4&gt;$D21,0,IFERROR(MIN(1,MAX(0,(EOMONTH(N$4,0)+1-$C21)/(EDATE($C21,$E21)-$C21)))*$F21/12,0))+IF(EOMONTH('Covid 19'!$C$6,0)=Projection!N4,$G$21,0)</f>
        <v>0</v>
      </c>
      <c r="O21" s="161">
        <f>IF(O$4&gt;$D21,0,IFERROR(MIN(1,MAX(0,(EOMONTH(O$4,0)+1-$C21)/(EDATE($C21,$E21)-$C21)))*$F21/12,0))+IF(EOMONTH('Covid 19'!$C$6,0)=Projection!O4,$G$21,0)</f>
        <v>0</v>
      </c>
      <c r="P21" s="161">
        <f>IF(P$4&gt;$D21,0,IFERROR(MIN(1,MAX(0,(EOMONTH(P$4,0)+1-$C21)/(EDATE($C21,$E21)-$C21)))*$F21/12,0))+IF(EOMONTH('Covid 19'!$C$6,0)=Projection!P4,$G$21,0)</f>
        <v>0</v>
      </c>
      <c r="Q21" s="161">
        <f>IF(Q$4&gt;$D21,0,IFERROR(MIN(1,MAX(0,(EOMONTH(Q$4,0)+1-$C21)/(EDATE($C21,$E21)-$C21)))*$F21/12,0))+IF(EOMONTH('Covid 19'!$C$6,0)=Projection!Q4,$G$21,0)</f>
        <v>0</v>
      </c>
      <c r="R21" s="161">
        <f>IF(R$4&gt;$D21,0,IFERROR(MIN(1,MAX(0,(EOMONTH(R$4,0)+1-$C21)/(EDATE($C21,$E21)-$C21)))*$F21/12,0))+IF(EOMONTH('Covid 19'!$C$6,0)=Projection!R4,$G$21,0)</f>
        <v>0</v>
      </c>
      <c r="S21" s="161">
        <f>IF(S$4&gt;$D21,0,IFERROR(MIN(1,MAX(0,(EOMONTH(S$4,0)+1-$C21)/(EDATE($C21,$E21)-$C21)))*$F21/12,0))+IF(EOMONTH('Covid 19'!$C$6,0)=Projection!S4,$G$21,0)</f>
        <v>38150</v>
      </c>
      <c r="T21" s="161">
        <f>IF(T$4&gt;$D21,0,IFERROR(MIN(1,MAX(0,(EOMONTH(T$4,0)+1-$C21)/(EDATE($C21,$E21)-$C21)))*$F21/12,0))+IF(EOMONTH('Covid 19'!$C$6,0)=Projection!T4,$G$21,0)</f>
        <v>1650</v>
      </c>
      <c r="U21" s="161">
        <f>IF(U$4&gt;$D21,0,IFERROR(MIN(1,MAX(0,(EOMONTH(U$4,0)+1-$C21)/(EDATE($C21,$E21)-$C21)))*$F21/12,0))+IF(EOMONTH('Covid 19'!$C$6,0)=Projection!U4,$G$21,0)</f>
        <v>1650</v>
      </c>
      <c r="V21" s="161">
        <f>IF(V$4&gt;$D21,0,IFERROR(MIN(1,MAX(0,(EOMONTH(V$4,0)+1-$C21)/(EDATE($C21,$E21)-$C21)))*$F21/12,0))+IF(EOMONTH('Covid 19'!$C$6,0)=Projection!V4,$G$21,0)</f>
        <v>0</v>
      </c>
      <c r="W21" s="161">
        <f>IF(W$4&gt;$D21,0,IFERROR(MIN(1,MAX(0,(EOMONTH(W$4,0)+1-$C21)/(EDATE($C21,$E21)-$C21)))*$F21/12,0))+IF(EOMONTH('Covid 19'!$C$6,0)=Projection!W4,$G$21,0)</f>
        <v>0</v>
      </c>
      <c r="X21" s="161">
        <f>IF(X$4&gt;$D21,0,IFERROR(MIN(1,MAX(0,(EOMONTH(X$4,0)+1-$C21)/(EDATE($C21,$E21)-$C21)))*$F21/12,0))+IF(EOMONTH('Covid 19'!$C$6,0)=Projection!X4,$G$21,0)</f>
        <v>0</v>
      </c>
      <c r="Y21" s="161">
        <f>IF(Y$4&gt;$D21,0,IFERROR(MIN(1,MAX(0,(EOMONTH(Y$4,0)+1-$C21)/(EDATE($C21,$E21)-$C21)))*$F21/12,0))+IF(EOMONTH('Covid 19'!$C$6,0)=Projection!Y4,$G$21,0)</f>
        <v>0</v>
      </c>
      <c r="Z21" s="161">
        <f>IF(Z$4&gt;$D21,0,IFERROR(MIN(1,MAX(0,(EOMONTH(Z$4,0)+1-$C21)/(EDATE($C21,$E21)-$C21)))*$F21/12,0))+IF(EOMONTH('Covid 19'!$C$6,0)=Projection!Z4,$G$21,0)</f>
        <v>0</v>
      </c>
      <c r="AA21" s="161">
        <f>IF(AA$4&gt;$D21,0,IFERROR(MIN(1,MAX(0,(EOMONTH(AA$4,0)+1-$C21)/(EDATE($C21,$E21)-$C21)))*$F21/12,0))+IF(EOMONTH('Covid 19'!$C$6,0)=Projection!AA4,$G$21,0)</f>
        <v>0</v>
      </c>
      <c r="AB21" s="161">
        <f>IF(AB$4&gt;$D21,0,IFERROR(MIN(1,MAX(0,(EOMONTH(AB$4,0)+1-$C21)/(EDATE($C21,$E21)-$C21)))*$F21/12,0))+IF(EOMONTH('Covid 19'!$C$6,0)=Projection!AB4,$G$21,0)</f>
        <v>0</v>
      </c>
      <c r="AC21" s="161">
        <f>IF(AC$4&gt;$D21,0,IFERROR(MIN(1,MAX(0,(EOMONTH(AC$4,0)+1-$C21)/(EDATE($C21,$E21)-$C21)))*$F21/12,0))+IF(EOMONTH('Covid 19'!$C$6,0)=Projection!AC4,$G$21,0)</f>
        <v>0</v>
      </c>
      <c r="AD21" s="161">
        <f>IF(AD$4&gt;$D21,0,IFERROR(MIN(1,MAX(0,(EOMONTH(AD$4,0)+1-$C21)/(EDATE($C21,$E21)-$C21)))*$F21/12,0))+IF(EOMONTH('Covid 19'!$C$6,0)=Projection!AD4,$G$21,0)</f>
        <v>0</v>
      </c>
      <c r="AE21" s="161">
        <f>IF(AE$4&gt;$D21,0,IFERROR(MIN(1,MAX(0,(EOMONTH(AE$4,0)+1-$C21)/(EDATE($C21,$E21)-$C21)))*$F21/12,0))+IF(EOMONTH('Covid 19'!$C$6,0)=Projection!AE4,$G$21,0)</f>
        <v>0</v>
      </c>
      <c r="AF21" s="161">
        <f>IF(AF$4&gt;$D21,0,IFERROR(MIN(1,MAX(0,(EOMONTH(AF$4,0)+1-$C21)/(EDATE($C21,$E21)-$C21)))*$F21/12,0))+IF(EOMONTH('Covid 19'!$C$6,0)=Projection!AF4,$G$21,0)</f>
        <v>0</v>
      </c>
      <c r="AG21" s="161">
        <f>IF(AG$4&gt;$D21,0,IFERROR(MIN(1,MAX(0,(EOMONTH(AG$4,0)+1-$C21)/(EDATE($C21,$E21)-$C21)))*$F21/12,0))+IF(EOMONTH('Covid 19'!$C$6,0)=Projection!AG4,$G$21,0)</f>
        <v>0</v>
      </c>
      <c r="AH21" s="161">
        <f>IF(AH$4&gt;$D21,0,IFERROR(MIN(1,MAX(0,(EOMONTH(AH$4,0)+1-$C21)/(EDATE($C21,$E21)-$C21)))*$F21/12,0))+IF(EOMONTH('Covid 19'!$C$6,0)=Projection!AH4,$G$21,0)</f>
        <v>0</v>
      </c>
      <c r="AI21" s="161">
        <f>IF(AI$4&gt;$D21,0,IFERROR(MIN(1,MAX(0,(EOMONTH(AI$4,0)+1-$C21)/(EDATE($C21,$E21)-$C21)))*$F21/12,0))+IF(EOMONTH('Covid 19'!$C$6,0)=Projection!AI4,$G$21,0)</f>
        <v>0</v>
      </c>
      <c r="AJ21" s="161">
        <f>IF(AJ$4&gt;$D21,0,IFERROR(MIN(1,MAX(0,(EOMONTH(AJ$4,0)+1-$C21)/(EDATE($C21,$E21)-$C21)))*$F21/12,0))+IF(EOMONTH('Covid 19'!$C$6,0)=Projection!AJ4,$G$21,0)</f>
        <v>0</v>
      </c>
      <c r="AK21" s="161">
        <f>IF(AK$4&gt;$D21,0,IFERROR(MIN(1,MAX(0,(EOMONTH(AK$4,0)+1-$C21)/(EDATE($C21,$E21)-$C21)))*$F21/12,0))+IF(EOMONTH('Covid 19'!$C$6,0)=Projection!AK4,$G$21,0)</f>
        <v>0</v>
      </c>
      <c r="AL21" s="161">
        <f>IF(AL$4&gt;$D21,0,IFERROR(MIN(1,MAX(0,(EOMONTH(AL$4,0)+1-$C21)/(EDATE($C21,$E21)-$C21)))*$F21/12,0))+IF(EOMONTH('Covid 19'!$C$6,0)=Projection!AL4,$G$21,0)</f>
        <v>0</v>
      </c>
      <c r="AM21" s="161">
        <f>IF(AM$4&gt;$D21,0,IFERROR(MIN(1,MAX(0,(EOMONTH(AM$4,0)+1-$C21)/(EDATE($C21,$E21)-$C21)))*$F21/12,0))+IF(EOMONTH('Covid 19'!$C$6,0)=Projection!AM4,$G$21,0)</f>
        <v>0</v>
      </c>
      <c r="AN21" s="161">
        <f>IF(AN$4&gt;$D21,0,IFERROR(MIN(1,MAX(0,(EOMONTH(AN$4,0)+1-$C21)/(EDATE($C21,$E21)-$C21)))*$F21/12,0))+IF(EOMONTH('Covid 19'!$C$6,0)=Projection!AN4,$G$21,0)</f>
        <v>0</v>
      </c>
      <c r="AO21" s="161">
        <f>IF(AO$4&gt;$D21,0,IFERROR(MIN(1,MAX(0,(EOMONTH(AO$4,0)+1-$C21)/(EDATE($C21,$E21)-$C21)))*$F21/12,0))+IF(EOMONTH('Covid 19'!$C$6,0)=Projection!AO4,$G$21,0)</f>
        <v>0</v>
      </c>
      <c r="AP21" s="161">
        <f>IF(AP$4&gt;$D21,0,IFERROR(MIN(1,MAX(0,(EOMONTH(AP$4,0)+1-$C21)/(EDATE($C21,$E21)-$C21)))*$F21/12,0))+IF(EOMONTH('Covid 19'!$C$6,0)=Projection!AP4,$G$21,0)</f>
        <v>0</v>
      </c>
      <c r="AQ21" s="161">
        <f>IF(AQ$4&gt;$D21,0,IFERROR(MIN(1,MAX(0,(EOMONTH(AQ$4,0)+1-$C21)/(EDATE($C21,$E21)-$C21)))*$F21/12,0))+IF(EOMONTH('Covid 19'!$C$6,0)=Projection!AQ4,$G$21,0)</f>
        <v>0</v>
      </c>
      <c r="AR21" s="161">
        <f>IF(AR$4&gt;$D21,0,IFERROR(MIN(1,MAX(0,(EOMONTH(AR$4,0)+1-$C21)/(EDATE($C21,$E21)-$C21)))*$F21/12,0))+IF(EOMONTH('Covid 19'!$C$6,0)=Projection!AR4,$G$21,0)</f>
        <v>0</v>
      </c>
      <c r="AS21" s="161">
        <f>IF(AS$4&gt;$D21,0,IFERROR(MIN(1,MAX(0,(EOMONTH(AS$4,0)+1-$C21)/(EDATE($C21,$E21)-$C21)))*$F21/12,0))+IF(EOMONTH('Covid 19'!$C$6,0)=Projection!AS4,$G$21,0)</f>
        <v>0</v>
      </c>
      <c r="AT21" s="161">
        <f>IF(AT$4&gt;$D21,0,IFERROR(MIN(1,MAX(0,(EOMONTH(AT$4,0)+1-$C21)/(EDATE($C21,$E21)-$C21)))*$F21/12,0))+IF(EOMONTH('Covid 19'!$C$6,0)=Projection!AT4,$G$21,0)</f>
        <v>0</v>
      </c>
      <c r="AU21" s="161">
        <f>IF(AU$4&gt;$D21,0,IFERROR(MIN(1,MAX(0,(EOMONTH(AU$4,0)+1-$C21)/(EDATE($C21,$E21)-$C21)))*$F21/12,0))+IF(EOMONTH('Covid 19'!$C$6,0)=Projection!AU4,$G$21,0)</f>
        <v>0</v>
      </c>
      <c r="AV21" s="161">
        <f>IF(AV$4&gt;$D21,0,IFERROR(MIN(1,MAX(0,(EOMONTH(AV$4,0)+1-$C21)/(EDATE($C21,$E21)-$C21)))*$F21/12,0))+IF(EOMONTH('Covid 19'!$C$6,0)=Projection!AV4,$G$21,0)</f>
        <v>0</v>
      </c>
      <c r="AW21" s="161">
        <f>IF(AW$4&gt;$D21,0,IFERROR(MIN(1,MAX(0,(EOMONTH(AW$4,0)+1-$C21)/(EDATE($C21,$E21)-$C21)))*$F21/12,0))+IF(EOMONTH('Covid 19'!$C$6,0)=Projection!AW4,$G$21,0)</f>
        <v>0</v>
      </c>
      <c r="AX21" s="161">
        <f>IF(AX$4&gt;$D21,0,IFERROR(MIN(1,MAX(0,(EOMONTH(AX$4,0)+1-$C21)/(EDATE($C21,$E21)-$C21)))*$F21/12,0))+IF(EOMONTH('Covid 19'!$C$6,0)=Projection!AX4,$G$21,0)</f>
        <v>0</v>
      </c>
      <c r="AY21" s="161">
        <f>IF(AY$4&gt;$D21,0,IFERROR(MIN(1,MAX(0,(EOMONTH(AY$4,0)+1-$C21)/(EDATE($C21,$E21)-$C21)))*$F21/12,0))+IF(EOMONTH('Covid 19'!$C$6,0)=Projection!AY4,$G$21,0)</f>
        <v>0</v>
      </c>
      <c r="AZ21" s="161">
        <f>IF(AZ$4&gt;$D21,0,IFERROR(MIN(1,MAX(0,(EOMONTH(AZ$4,0)+1-$C21)/(EDATE($C21,$E21)-$C21)))*$F21/12,0))+IF(EOMONTH('Covid 19'!$C$6,0)=Projection!AZ4,$G$21,0)</f>
        <v>0</v>
      </c>
      <c r="BA21" s="161">
        <f>IF(BA$4&gt;$D21,0,IFERROR(MIN(1,MAX(0,(EOMONTH(BA$4,0)+1-$C21)/(EDATE($C21,$E21)-$C21)))*$F21/12,0))+IF(EOMONTH('Covid 19'!$C$6,0)=Projection!BA4,$G$21,0)</f>
        <v>0</v>
      </c>
      <c r="BB21" s="161">
        <f>IF(BB$4&gt;$D21,0,IFERROR(MIN(1,MAX(0,(EOMONTH(BB$4,0)+1-$C21)/(EDATE($C21,$E21)-$C21)))*$F21/12,0))+IF(EOMONTH('Covid 19'!$C$6,0)=Projection!BB4,$G$21,0)</f>
        <v>0</v>
      </c>
      <c r="BC21" s="161">
        <f>IF(BC$4&gt;$D21,0,IFERROR(MIN(1,MAX(0,(EOMONTH(BC$4,0)+1-$C21)/(EDATE($C21,$E21)-$C21)))*$F21/12,0))+IF(EOMONTH('Covid 19'!$C$6,0)=Projection!BC4,$G$21,0)</f>
        <v>0</v>
      </c>
      <c r="BE21" s="75">
        <f t="shared" si="12"/>
        <v>38150</v>
      </c>
      <c r="BF21" s="75">
        <f t="shared" si="13"/>
        <v>3300</v>
      </c>
      <c r="BG21" s="75">
        <f t="shared" si="13"/>
        <v>0</v>
      </c>
      <c r="BH21" s="75">
        <f t="shared" si="13"/>
        <v>0</v>
      </c>
    </row>
    <row r="22" spans="2:60" ht="21" customHeight="1" x14ac:dyDescent="0.3">
      <c r="B22" s="160" t="s">
        <v>390</v>
      </c>
      <c r="C22" s="48">
        <f>C19</f>
        <v>43891</v>
      </c>
      <c r="D22" s="48">
        <f>EOMONTH(C22,3)</f>
        <v>44012</v>
      </c>
      <c r="E22" s="47">
        <v>1</v>
      </c>
      <c r="F22" s="75"/>
      <c r="G22" s="75">
        <f>'Covid 19'!C27</f>
        <v>0</v>
      </c>
      <c r="H22" s="161">
        <f>IF(EOMONTH('Covid 19'!$C$6,0)=Projection!H4,$G$22,0)</f>
        <v>0</v>
      </c>
      <c r="I22" s="161">
        <f>IF(EOMONTH('Covid 19'!$C$6,0)=Projection!I4,$G$22,0)</f>
        <v>0</v>
      </c>
      <c r="J22" s="161">
        <f>IF(EOMONTH('Covid 19'!$C$6,0)=Projection!J4,$G$22,0)</f>
        <v>0</v>
      </c>
      <c r="K22" s="161">
        <f>IF(EOMONTH('Covid 19'!$C$6,0)=Projection!K4,$G$22,0)</f>
        <v>0</v>
      </c>
      <c r="L22" s="161">
        <f>IF(EOMONTH('Covid 19'!$C$6,0)=Projection!L4,$G$22,0)</f>
        <v>0</v>
      </c>
      <c r="M22" s="161">
        <f>IF(EOMONTH('Covid 19'!$C$6,0)=Projection!M4,$G$22,0)</f>
        <v>0</v>
      </c>
      <c r="N22" s="161">
        <f>IF(EOMONTH('Covid 19'!$C$6,0)=Projection!N4,$G$22,0)</f>
        <v>0</v>
      </c>
      <c r="O22" s="161">
        <f>IF(EOMONTH('Covid 19'!$C$6,0)=Projection!O4,$G$22,0)</f>
        <v>0</v>
      </c>
      <c r="P22" s="161">
        <f>IF(EOMONTH('Covid 19'!$C$6,0)=Projection!P4,$G$22,0)</f>
        <v>0</v>
      </c>
      <c r="Q22" s="161">
        <f>IF(EOMONTH('Covid 19'!$C$6,0)=Projection!Q4,$G$22,0)</f>
        <v>0</v>
      </c>
      <c r="R22" s="161">
        <f>IF(EOMONTH('Covid 19'!$C$6,0)=Projection!R4,$G$22,0)</f>
        <v>0</v>
      </c>
      <c r="S22" s="161">
        <f>IF(EOMONTH('Covid 19'!$C$6,0)=Projection!S4,$G$22,0)</f>
        <v>0</v>
      </c>
      <c r="T22" s="161">
        <f>IF(EOMONTH('Covid 19'!$C$6,0)=Projection!T4,$G$22,0)</f>
        <v>0</v>
      </c>
      <c r="U22" s="161">
        <f>IF(EOMONTH('Covid 19'!$C$6,0)=Projection!U4,$G$22,0)</f>
        <v>0</v>
      </c>
      <c r="V22" s="161">
        <f>IF(EOMONTH('Covid 19'!$C$6,0)=Projection!V4,$G$22,0)</f>
        <v>0</v>
      </c>
      <c r="W22" s="161">
        <f>IF(EOMONTH('Covid 19'!$C$6,0)=Projection!W4,$G$22,0)</f>
        <v>0</v>
      </c>
      <c r="X22" s="161">
        <f>IF(EOMONTH('Covid 19'!$C$6,0)=Projection!X4,$G$22,0)</f>
        <v>0</v>
      </c>
      <c r="Y22" s="161">
        <f>IF(EOMONTH('Covid 19'!$C$6,0)=Projection!Y4,$G$22,0)</f>
        <v>0</v>
      </c>
      <c r="Z22" s="161">
        <f>IF(EOMONTH('Covid 19'!$C$6,0)=Projection!Z4,$G$22,0)</f>
        <v>0</v>
      </c>
      <c r="AA22" s="161">
        <f>IF(EOMONTH('Covid 19'!$C$6,0)=Projection!AA4,$G$22,0)</f>
        <v>0</v>
      </c>
      <c r="AB22" s="161">
        <f>IF(EOMONTH('Covid 19'!$C$6,0)=Projection!AB4,$G$22,0)</f>
        <v>0</v>
      </c>
      <c r="AC22" s="161">
        <f>IF(EOMONTH('Covid 19'!$C$6,0)=Projection!AC4,$G$22,0)</f>
        <v>0</v>
      </c>
      <c r="AD22" s="161">
        <f>IF(EOMONTH('Covid 19'!$C$6,0)=Projection!AD4,$G$22,0)</f>
        <v>0</v>
      </c>
      <c r="AE22" s="161">
        <f>IF(EOMONTH('Covid 19'!$C$6,0)=Projection!AE4,$G$22,0)</f>
        <v>0</v>
      </c>
      <c r="AF22" s="161">
        <f>IF(EOMONTH('Covid 19'!$C$6,0)=Projection!AF4,$G$22,0)</f>
        <v>0</v>
      </c>
      <c r="AG22" s="161">
        <f>IF(EOMONTH('Covid 19'!$C$6,0)=Projection!AG4,$G$22,0)</f>
        <v>0</v>
      </c>
      <c r="AH22" s="161">
        <f>IF(EOMONTH('Covid 19'!$C$6,0)=Projection!AH4,$G$22,0)</f>
        <v>0</v>
      </c>
      <c r="AI22" s="161">
        <f>IF(EOMONTH('Covid 19'!$C$6,0)=Projection!AI4,$G$22,0)</f>
        <v>0</v>
      </c>
      <c r="AJ22" s="161">
        <f>IF(EOMONTH('Covid 19'!$C$6,0)=Projection!AJ4,$G$22,0)</f>
        <v>0</v>
      </c>
      <c r="AK22" s="161">
        <f>IF(EOMONTH('Covid 19'!$C$6,0)=Projection!AK4,$G$22,0)</f>
        <v>0</v>
      </c>
      <c r="AL22" s="161">
        <f>IF(EOMONTH('Covid 19'!$C$6,0)=Projection!AL4,$G$22,0)</f>
        <v>0</v>
      </c>
      <c r="AM22" s="161">
        <f>IF(EOMONTH('Covid 19'!$C$6,0)=Projection!AM4,$G$22,0)</f>
        <v>0</v>
      </c>
      <c r="AN22" s="161">
        <f>IF(EOMONTH('Covid 19'!$C$6,0)=Projection!AN4,$G$22,0)</f>
        <v>0</v>
      </c>
      <c r="AO22" s="161">
        <f>IF(EOMONTH('Covid 19'!$C$6,0)=Projection!AO4,$G$22,0)</f>
        <v>0</v>
      </c>
      <c r="AP22" s="161">
        <f>IF(EOMONTH('Covid 19'!$C$6,0)=Projection!AP4,$G$22,0)</f>
        <v>0</v>
      </c>
      <c r="AQ22" s="161">
        <f>IF(EOMONTH('Covid 19'!$C$6,0)=Projection!AQ4,$G$22,0)</f>
        <v>0</v>
      </c>
      <c r="AR22" s="161">
        <f>IF(EOMONTH('Covid 19'!$C$6,0)=Projection!AR4,$G$22,0)</f>
        <v>0</v>
      </c>
      <c r="AS22" s="161">
        <f>IF(EOMONTH('Covid 19'!$C$6,0)=Projection!AS4,$G$22,0)</f>
        <v>0</v>
      </c>
      <c r="AT22" s="161">
        <f>IF(EOMONTH('Covid 19'!$C$6,0)=Projection!AT4,$G$22,0)</f>
        <v>0</v>
      </c>
      <c r="AU22" s="161">
        <f>IF(EOMONTH('Covid 19'!$C$6,0)=Projection!AU4,$G$22,0)</f>
        <v>0</v>
      </c>
      <c r="AV22" s="161">
        <f>IF(EOMONTH('Covid 19'!$C$6,0)=Projection!AV4,$G$22,0)</f>
        <v>0</v>
      </c>
      <c r="AW22" s="161">
        <f>IF(EOMONTH('Covid 19'!$C$6,0)=Projection!AW4,$G$22,0)</f>
        <v>0</v>
      </c>
      <c r="AX22" s="161">
        <f>IF(EOMONTH('Covid 19'!$C$6,0)=Projection!AX4,$G$22,0)</f>
        <v>0</v>
      </c>
      <c r="AY22" s="161">
        <f>IF(EOMONTH('Covid 19'!$C$6,0)=Projection!AY4,$G$22,0)</f>
        <v>0</v>
      </c>
      <c r="AZ22" s="161">
        <f>IF(EOMONTH('Covid 19'!$C$6,0)=Projection!AZ4,$G$22,0)</f>
        <v>0</v>
      </c>
      <c r="BA22" s="161">
        <f>IF(EOMONTH('Covid 19'!$C$6,0)=Projection!BA4,$G$22,0)</f>
        <v>0</v>
      </c>
      <c r="BB22" s="161">
        <f>IF(EOMONTH('Covid 19'!$C$6,0)=Projection!BB4,$G$22,0)</f>
        <v>0</v>
      </c>
      <c r="BC22" s="161">
        <f>IF(EOMONTH('Covid 19'!$C$6,0)=Projection!BC4,$G$22,0)</f>
        <v>0</v>
      </c>
      <c r="BE22" s="75">
        <f t="shared" si="12"/>
        <v>0</v>
      </c>
      <c r="BF22" s="75">
        <f t="shared" si="13"/>
        <v>0</v>
      </c>
      <c r="BG22" s="75">
        <f t="shared" si="13"/>
        <v>0</v>
      </c>
      <c r="BH22" s="75">
        <f t="shared" si="13"/>
        <v>0</v>
      </c>
    </row>
    <row r="23" spans="2:60" ht="21" customHeight="1" x14ac:dyDescent="0.3">
      <c r="B23" s="60" t="s">
        <v>27</v>
      </c>
      <c r="C23" s="48">
        <f>'Call Management'!C8</f>
        <v>43922</v>
      </c>
      <c r="D23" s="48"/>
      <c r="E23" s="47">
        <f>'Call Management'!C9</f>
        <v>1</v>
      </c>
      <c r="F23" s="75"/>
      <c r="G23" s="75"/>
      <c r="H23" s="75">
        <f>IFERROR(MIN(1,MAX(0,(EOMONTH(H$4,0)+1-$C23)/(EDATE($C23,$E23)-$C23)))*$F23/12+IF(AND(H$4&gt;=EOMONTH($C23,0),H$4&lt;=EOMONTH($C23,11)),$G23/12,0),0)</f>
        <v>0</v>
      </c>
      <c r="I23" s="75">
        <f t="shared" ref="I23:BC24" si="17">IFERROR(MIN(1,MAX(0,(EOMONTH(I$4,0)+1-$C23)/(EDATE($C23,$E23)-$C23)))*$F23/12+IF(AND(I$4&gt;=EOMONTH($C23,0),I$4&lt;=EOMONTH($C23,11)),$G23/12,0),0)</f>
        <v>0</v>
      </c>
      <c r="J23" s="75">
        <f t="shared" si="17"/>
        <v>0</v>
      </c>
      <c r="K23" s="75">
        <f t="shared" si="17"/>
        <v>0</v>
      </c>
      <c r="L23" s="75">
        <f t="shared" si="17"/>
        <v>0</v>
      </c>
      <c r="M23" s="75">
        <f t="shared" si="17"/>
        <v>0</v>
      </c>
      <c r="N23" s="75">
        <f t="shared" si="17"/>
        <v>0</v>
      </c>
      <c r="O23" s="75">
        <f t="shared" si="17"/>
        <v>0</v>
      </c>
      <c r="P23" s="75">
        <f t="shared" si="17"/>
        <v>0</v>
      </c>
      <c r="Q23" s="75">
        <f t="shared" si="17"/>
        <v>0</v>
      </c>
      <c r="R23" s="75">
        <f t="shared" si="17"/>
        <v>0</v>
      </c>
      <c r="S23" s="75">
        <f t="shared" si="17"/>
        <v>0</v>
      </c>
      <c r="T23" s="75">
        <f t="shared" si="17"/>
        <v>0</v>
      </c>
      <c r="U23" s="75">
        <f t="shared" si="17"/>
        <v>0</v>
      </c>
      <c r="V23" s="75">
        <f t="shared" si="17"/>
        <v>0</v>
      </c>
      <c r="W23" s="75">
        <f t="shared" si="17"/>
        <v>0</v>
      </c>
      <c r="X23" s="75">
        <f t="shared" si="17"/>
        <v>0</v>
      </c>
      <c r="Y23" s="75">
        <f t="shared" si="17"/>
        <v>0</v>
      </c>
      <c r="Z23" s="75">
        <f t="shared" si="17"/>
        <v>0</v>
      </c>
      <c r="AA23" s="75">
        <f t="shared" si="17"/>
        <v>0</v>
      </c>
      <c r="AB23" s="75">
        <f t="shared" si="17"/>
        <v>0</v>
      </c>
      <c r="AC23" s="75">
        <f t="shared" si="17"/>
        <v>0</v>
      </c>
      <c r="AD23" s="75">
        <f t="shared" si="17"/>
        <v>0</v>
      </c>
      <c r="AE23" s="75">
        <f t="shared" si="17"/>
        <v>0</v>
      </c>
      <c r="AF23" s="75">
        <f t="shared" si="17"/>
        <v>0</v>
      </c>
      <c r="AG23" s="75">
        <f t="shared" si="17"/>
        <v>0</v>
      </c>
      <c r="AH23" s="75">
        <f t="shared" si="17"/>
        <v>0</v>
      </c>
      <c r="AI23" s="75">
        <f t="shared" si="17"/>
        <v>0</v>
      </c>
      <c r="AJ23" s="75">
        <f t="shared" si="17"/>
        <v>0</v>
      </c>
      <c r="AK23" s="75">
        <f t="shared" si="17"/>
        <v>0</v>
      </c>
      <c r="AL23" s="75">
        <f t="shared" si="17"/>
        <v>0</v>
      </c>
      <c r="AM23" s="75">
        <f t="shared" si="17"/>
        <v>0</v>
      </c>
      <c r="AN23" s="75">
        <f t="shared" si="17"/>
        <v>0</v>
      </c>
      <c r="AO23" s="75">
        <f t="shared" si="17"/>
        <v>0</v>
      </c>
      <c r="AP23" s="75">
        <f t="shared" si="17"/>
        <v>0</v>
      </c>
      <c r="AQ23" s="75">
        <f t="shared" si="17"/>
        <v>0</v>
      </c>
      <c r="AR23" s="75">
        <f t="shared" si="17"/>
        <v>0</v>
      </c>
      <c r="AS23" s="75">
        <f t="shared" si="17"/>
        <v>0</v>
      </c>
      <c r="AT23" s="75">
        <f t="shared" si="17"/>
        <v>0</v>
      </c>
      <c r="AU23" s="75">
        <f t="shared" si="17"/>
        <v>0</v>
      </c>
      <c r="AV23" s="75">
        <f t="shared" si="17"/>
        <v>0</v>
      </c>
      <c r="AW23" s="75">
        <f t="shared" si="17"/>
        <v>0</v>
      </c>
      <c r="AX23" s="75">
        <f t="shared" si="17"/>
        <v>0</v>
      </c>
      <c r="AY23" s="75">
        <f t="shared" si="17"/>
        <v>0</v>
      </c>
      <c r="AZ23" s="75">
        <f t="shared" si="17"/>
        <v>0</v>
      </c>
      <c r="BA23" s="75">
        <f t="shared" si="17"/>
        <v>0</v>
      </c>
      <c r="BB23" s="75">
        <f t="shared" si="17"/>
        <v>0</v>
      </c>
      <c r="BC23" s="75">
        <f t="shared" si="17"/>
        <v>0</v>
      </c>
      <c r="BE23" s="75">
        <f t="shared" si="12"/>
        <v>0</v>
      </c>
      <c r="BF23" s="75">
        <f t="shared" si="13"/>
        <v>0</v>
      </c>
      <c r="BG23" s="75">
        <f t="shared" si="13"/>
        <v>0</v>
      </c>
      <c r="BH23" s="75">
        <f t="shared" si="13"/>
        <v>0</v>
      </c>
    </row>
    <row r="24" spans="2:60" ht="21" customHeight="1" x14ac:dyDescent="0.3">
      <c r="B24" s="60" t="s">
        <v>57</v>
      </c>
      <c r="C24" s="48">
        <f>'GP Triage'!$C$3</f>
        <v>43922</v>
      </c>
      <c r="D24" s="48"/>
      <c r="E24" s="47">
        <f>'GP Triage'!$C$4</f>
        <v>3</v>
      </c>
      <c r="F24" s="75">
        <f>'GP Triage'!C55</f>
        <v>-26813.347826086952</v>
      </c>
      <c r="G24" s="75"/>
      <c r="H24" s="75">
        <f>IFERROR(MIN(1,MAX(0,(EOMONTH(H$4,0)+1-$C24)/(EDATE($C24,$E24)-$C24)))*$F24/12+IF(AND(H$4&gt;=EOMONTH($C24,0),H$4&lt;=EOMONTH($C24,11)),$G24/12,0),0)</f>
        <v>0</v>
      </c>
      <c r="I24" s="75">
        <f t="shared" si="17"/>
        <v>0</v>
      </c>
      <c r="J24" s="75">
        <f t="shared" si="17"/>
        <v>0</v>
      </c>
      <c r="K24" s="75">
        <f t="shared" si="17"/>
        <v>0</v>
      </c>
      <c r="L24" s="75">
        <f t="shared" si="17"/>
        <v>0</v>
      </c>
      <c r="M24" s="75">
        <f t="shared" si="17"/>
        <v>0</v>
      </c>
      <c r="N24" s="75">
        <f t="shared" si="17"/>
        <v>0</v>
      </c>
      <c r="O24" s="75">
        <f t="shared" si="17"/>
        <v>0</v>
      </c>
      <c r="P24" s="75">
        <f t="shared" si="17"/>
        <v>0</v>
      </c>
      <c r="Q24" s="75">
        <f t="shared" si="17"/>
        <v>0</v>
      </c>
      <c r="R24" s="75">
        <f t="shared" si="17"/>
        <v>0</v>
      </c>
      <c r="S24" s="75">
        <f t="shared" si="17"/>
        <v>0</v>
      </c>
      <c r="T24" s="75">
        <f t="shared" si="17"/>
        <v>-736.63043478260852</v>
      </c>
      <c r="U24" s="75">
        <f t="shared" si="17"/>
        <v>-1497.815217391304</v>
      </c>
      <c r="V24" s="75">
        <f t="shared" si="17"/>
        <v>-2234.4456521739125</v>
      </c>
      <c r="W24" s="75">
        <f t="shared" si="17"/>
        <v>-2234.4456521739125</v>
      </c>
      <c r="X24" s="75">
        <f t="shared" si="17"/>
        <v>-2234.4456521739125</v>
      </c>
      <c r="Y24" s="75">
        <f t="shared" si="17"/>
        <v>-2234.4456521739125</v>
      </c>
      <c r="Z24" s="75">
        <f t="shared" si="17"/>
        <v>-2234.4456521739125</v>
      </c>
      <c r="AA24" s="75">
        <f t="shared" si="17"/>
        <v>-2234.4456521739125</v>
      </c>
      <c r="AB24" s="75">
        <f t="shared" si="17"/>
        <v>-2234.4456521739125</v>
      </c>
      <c r="AC24" s="75">
        <f t="shared" si="17"/>
        <v>-2234.4456521739125</v>
      </c>
      <c r="AD24" s="75">
        <f t="shared" si="17"/>
        <v>-2234.4456521739125</v>
      </c>
      <c r="AE24" s="75">
        <f t="shared" si="17"/>
        <v>-2234.4456521739125</v>
      </c>
      <c r="AF24" s="75">
        <f t="shared" si="17"/>
        <v>-2234.4456521739125</v>
      </c>
      <c r="AG24" s="75">
        <f t="shared" si="17"/>
        <v>-2234.4456521739125</v>
      </c>
      <c r="AH24" s="75">
        <f t="shared" si="17"/>
        <v>-2234.4456521739125</v>
      </c>
      <c r="AI24" s="75">
        <f t="shared" si="17"/>
        <v>-2234.4456521739125</v>
      </c>
      <c r="AJ24" s="75">
        <f t="shared" si="17"/>
        <v>-2234.4456521739125</v>
      </c>
      <c r="AK24" s="75">
        <f t="shared" si="17"/>
        <v>-2234.4456521739125</v>
      </c>
      <c r="AL24" s="75">
        <f t="shared" si="17"/>
        <v>-2234.4456521739125</v>
      </c>
      <c r="AM24" s="75">
        <f t="shared" si="17"/>
        <v>-2234.4456521739125</v>
      </c>
      <c r="AN24" s="75">
        <f t="shared" si="17"/>
        <v>-2234.4456521739125</v>
      </c>
      <c r="AO24" s="75">
        <f t="shared" si="17"/>
        <v>-2234.4456521739125</v>
      </c>
      <c r="AP24" s="75">
        <f t="shared" si="17"/>
        <v>-2234.4456521739125</v>
      </c>
      <c r="AQ24" s="75">
        <f t="shared" si="17"/>
        <v>-2234.4456521739125</v>
      </c>
      <c r="AR24" s="75">
        <f t="shared" si="17"/>
        <v>-2234.4456521739125</v>
      </c>
      <c r="AS24" s="75">
        <f t="shared" si="17"/>
        <v>-2234.4456521739125</v>
      </c>
      <c r="AT24" s="75">
        <f t="shared" si="17"/>
        <v>-2234.4456521739125</v>
      </c>
      <c r="AU24" s="75">
        <f t="shared" si="17"/>
        <v>-2234.4456521739125</v>
      </c>
      <c r="AV24" s="75">
        <f t="shared" si="17"/>
        <v>-2234.4456521739125</v>
      </c>
      <c r="AW24" s="75">
        <f t="shared" si="17"/>
        <v>-2234.4456521739125</v>
      </c>
      <c r="AX24" s="75">
        <f t="shared" si="17"/>
        <v>-2234.4456521739125</v>
      </c>
      <c r="AY24" s="75">
        <f t="shared" si="17"/>
        <v>-2234.4456521739125</v>
      </c>
      <c r="AZ24" s="75">
        <f t="shared" si="17"/>
        <v>-2234.4456521739125</v>
      </c>
      <c r="BA24" s="75">
        <f t="shared" si="17"/>
        <v>-2234.4456521739125</v>
      </c>
      <c r="BB24" s="75">
        <f t="shared" si="17"/>
        <v>-2234.4456521739125</v>
      </c>
      <c r="BC24" s="75">
        <f t="shared" si="17"/>
        <v>-2234.4456521739125</v>
      </c>
      <c r="BE24" s="75">
        <f t="shared" si="12"/>
        <v>0</v>
      </c>
      <c r="BF24" s="75">
        <f t="shared" si="13"/>
        <v>-24578.902173913037</v>
      </c>
      <c r="BG24" s="75">
        <f t="shared" si="13"/>
        <v>-26813.347826086949</v>
      </c>
      <c r="BH24" s="75">
        <f t="shared" si="13"/>
        <v>-26813.347826086949</v>
      </c>
    </row>
    <row r="25" spans="2:60" ht="21" customHeight="1" x14ac:dyDescent="0.3">
      <c r="B25" s="60" t="s">
        <v>354</v>
      </c>
      <c r="C25" s="48">
        <f>C19</f>
        <v>43891</v>
      </c>
      <c r="D25" s="48">
        <f>D19</f>
        <v>43982</v>
      </c>
      <c r="E25" s="47">
        <v>1</v>
      </c>
      <c r="F25" s="75">
        <f>IF('Covid 19'!$C$3="No","",'GP Triage'!D55)</f>
        <v>-12920.021739130432</v>
      </c>
      <c r="G25" s="75"/>
      <c r="H25" s="161">
        <f>IF(AND(H$5=1,$F25&lt;&gt;""),$F25/'Covid 19'!$C$7-H24,0)</f>
        <v>0</v>
      </c>
      <c r="I25" s="161">
        <f>IF(AND(I$5=1,$F25&lt;&gt;""),$F25/'Covid 19'!$C$7-I24,0)</f>
        <v>0</v>
      </c>
      <c r="J25" s="161">
        <f>IF(AND(J$5=1,$F25&lt;&gt;""),$F25/'Covid 19'!$C$7-J24,0)</f>
        <v>0</v>
      </c>
      <c r="K25" s="161">
        <f>IF(AND(K$5=1,$F25&lt;&gt;""),$F25/'Covid 19'!$C$7-K24,0)</f>
        <v>0</v>
      </c>
      <c r="L25" s="161">
        <f>IF(AND(L$5=1,$F25&lt;&gt;""),$F25/'Covid 19'!$C$7-L24,0)</f>
        <v>0</v>
      </c>
      <c r="M25" s="161">
        <f>IF(AND(M$5=1,$F25&lt;&gt;""),$F25/'Covid 19'!$C$7-M24,0)</f>
        <v>0</v>
      </c>
      <c r="N25" s="161">
        <f>IF(AND(N$5=1,$F25&lt;&gt;""),$F25/'Covid 19'!$C$7-N24,0)</f>
        <v>0</v>
      </c>
      <c r="O25" s="161">
        <f>IF(AND(O$5=1,$F25&lt;&gt;""),$F25/'Covid 19'!$C$7-O24,0)</f>
        <v>0</v>
      </c>
      <c r="P25" s="161">
        <f>IF(AND(P$5=1,$F25&lt;&gt;""),$F25/'Covid 19'!$C$7-P24,0)</f>
        <v>0</v>
      </c>
      <c r="Q25" s="161">
        <f>IF(AND(Q$5=1,$F25&lt;&gt;""),$F25/'Covid 19'!$C$7-Q24,0)</f>
        <v>0</v>
      </c>
      <c r="R25" s="161">
        <f>IF(AND(R$5=1,$F25&lt;&gt;""),$F25/'Covid 19'!$C$7-R24,0)</f>
        <v>0</v>
      </c>
      <c r="S25" s="161">
        <f>IF(AND(S$5=1,$F25&lt;&gt;""),$F25/'Covid 19'!$C$7-S24,0)</f>
        <v>-4306.6739130434771</v>
      </c>
      <c r="T25" s="161">
        <f>IF(AND(T$5=1,$F25&lt;&gt;""),$F25/'Covid 19'!$C$7-T24,0)</f>
        <v>-3570.0434782608686</v>
      </c>
      <c r="U25" s="161">
        <f>IF(AND(U$5=1,$F25&lt;&gt;""),$F25/'Covid 19'!$C$7-U24,0)</f>
        <v>-2808.8586956521731</v>
      </c>
      <c r="V25" s="161">
        <f>IF(AND(V$5=1,$F25&lt;&gt;""),$F25/'Covid 19'!$C$7-V24,0)</f>
        <v>0</v>
      </c>
      <c r="W25" s="161">
        <f>IF(AND(W$5=1,$F25&lt;&gt;""),$F25/'Covid 19'!$C$7-W24,0)</f>
        <v>0</v>
      </c>
      <c r="X25" s="161">
        <f>IF(AND(X$5=1,$F25&lt;&gt;""),$F25/'Covid 19'!$C$7-X24,0)</f>
        <v>0</v>
      </c>
      <c r="Y25" s="161">
        <f>IF(AND(Y$5=1,$F25&lt;&gt;""),$F25/'Covid 19'!$C$7-Y24,0)</f>
        <v>0</v>
      </c>
      <c r="Z25" s="161">
        <f>IF(AND(Z$5=1,$F25&lt;&gt;""),$F25/'Covid 19'!$C$7-Z24,0)</f>
        <v>0</v>
      </c>
      <c r="AA25" s="161">
        <f>IF(AND(AA$5=1,$F25&lt;&gt;""),$F25/'Covid 19'!$C$7-AA24,0)</f>
        <v>0</v>
      </c>
      <c r="AB25" s="161">
        <f>IF(AND(AB$5=1,$F25&lt;&gt;""),$F25/'Covid 19'!$C$7-AB24,0)</f>
        <v>0</v>
      </c>
      <c r="AC25" s="161">
        <f>IF(AND(AC$5=1,$F25&lt;&gt;""),$F25/'Covid 19'!$C$7-AC24,0)</f>
        <v>0</v>
      </c>
      <c r="AD25" s="161">
        <f>IF(AND(AD$5=1,$F25&lt;&gt;""),$F25/'Covid 19'!$C$7-AD24,0)</f>
        <v>0</v>
      </c>
      <c r="AE25" s="161">
        <f>IF(AND(AE$5=1,$F25&lt;&gt;""),$F25/'Covid 19'!$C$7-AE24,0)</f>
        <v>0</v>
      </c>
      <c r="AF25" s="161">
        <f>IF(AND(AF$5=1,$F25&lt;&gt;""),$F25/'Covid 19'!$C$7-AF24,0)</f>
        <v>0</v>
      </c>
      <c r="AG25" s="161">
        <f>IF(AND(AG$5=1,$F25&lt;&gt;""),$F25/'Covid 19'!$C$7-AG24,0)</f>
        <v>0</v>
      </c>
      <c r="AH25" s="161">
        <f>IF(AND(AH$5=1,$F25&lt;&gt;""),$F25/'Covid 19'!$C$7-AH24,0)</f>
        <v>0</v>
      </c>
      <c r="AI25" s="161">
        <f>IF(AND(AI$5=1,$F25&lt;&gt;""),$F25/'Covid 19'!$C$7-AI24,0)</f>
        <v>0</v>
      </c>
      <c r="AJ25" s="161">
        <f>IF(AND(AJ$5=1,$F25&lt;&gt;""),$F25/'Covid 19'!$C$7-AJ24,0)</f>
        <v>0</v>
      </c>
      <c r="AK25" s="161">
        <f>IF(AND(AK$5=1,$F25&lt;&gt;""),$F25/'Covid 19'!$C$7-AK24,0)</f>
        <v>0</v>
      </c>
      <c r="AL25" s="161">
        <f>IF(AND(AL$5=1,$F25&lt;&gt;""),$F25/'Covid 19'!$C$7-AL24,0)</f>
        <v>0</v>
      </c>
      <c r="AM25" s="161">
        <f>IF(AND(AM$5=1,$F25&lt;&gt;""),$F25/'Covid 19'!$C$7-AM24,0)</f>
        <v>0</v>
      </c>
      <c r="AN25" s="161">
        <f>IF(AND(AN$5=1,$F25&lt;&gt;""),$F25/'Covid 19'!$C$7-AN24,0)</f>
        <v>0</v>
      </c>
      <c r="AO25" s="161">
        <f>IF(AND(AO$5=1,$F25&lt;&gt;""),$F25/'Covid 19'!$C$7-AO24,0)</f>
        <v>0</v>
      </c>
      <c r="AP25" s="161">
        <f>IF(AND(AP$5=1,$F25&lt;&gt;""),$F25/'Covid 19'!$C$7-AP24,0)</f>
        <v>0</v>
      </c>
      <c r="AQ25" s="161">
        <f>IF(AND(AQ$5=1,$F25&lt;&gt;""),$F25/'Covid 19'!$C$7-AQ24,0)</f>
        <v>0</v>
      </c>
      <c r="AR25" s="161">
        <f>IF(AND(AR$5=1,$F25&lt;&gt;""),$F25/'Covid 19'!$C$7-AR24,0)</f>
        <v>0</v>
      </c>
      <c r="AS25" s="161">
        <f>IF(AND(AS$5=1,$F25&lt;&gt;""),$F25/'Covid 19'!$C$7-AS24,0)</f>
        <v>0</v>
      </c>
      <c r="AT25" s="161">
        <f>IF(AND(AT$5=1,$F25&lt;&gt;""),$F25/'Covid 19'!$C$7-AT24,0)</f>
        <v>0</v>
      </c>
      <c r="AU25" s="161">
        <f>IF(AND(AU$5=1,$F25&lt;&gt;""),$F25/'Covid 19'!$C$7-AU24,0)</f>
        <v>0</v>
      </c>
      <c r="AV25" s="161">
        <f>IF(AND(AV$5=1,$F25&lt;&gt;""),$F25/'Covid 19'!$C$7-AV24,0)</f>
        <v>0</v>
      </c>
      <c r="AW25" s="161">
        <f>IF(AND(AW$5=1,$F25&lt;&gt;""),$F25/'Covid 19'!$C$7-AW24,0)</f>
        <v>0</v>
      </c>
      <c r="AX25" s="161">
        <f>IF(AND(AX$5=1,$F25&lt;&gt;""),$F25/'Covid 19'!$C$7-AX24,0)</f>
        <v>0</v>
      </c>
      <c r="AY25" s="161">
        <f>IF(AND(AY$5=1,$F25&lt;&gt;""),$F25/'Covid 19'!$C$7-AY24,0)</f>
        <v>0</v>
      </c>
      <c r="AZ25" s="161">
        <f>IF(AND(AZ$5=1,$F25&lt;&gt;""),$F25/'Covid 19'!$C$7-AZ24,0)</f>
        <v>0</v>
      </c>
      <c r="BA25" s="161">
        <f>IF(AND(BA$5=1,$F25&lt;&gt;""),$F25/'Covid 19'!$C$7-BA24,0)</f>
        <v>0</v>
      </c>
      <c r="BB25" s="161">
        <f>IF(AND(BB$5=1,$F25&lt;&gt;""),$F25/'Covid 19'!$C$7-BB24,0)</f>
        <v>0</v>
      </c>
      <c r="BC25" s="161">
        <f>IF(AND(BC$5=1,$F25&lt;&gt;""),$F25/'Covid 19'!$C$7-BC24,0)</f>
        <v>0</v>
      </c>
      <c r="BE25" s="75">
        <f t="shared" si="12"/>
        <v>-4306.6739130434771</v>
      </c>
      <c r="BF25" s="75">
        <f t="shared" si="13"/>
        <v>-6378.9021739130421</v>
      </c>
      <c r="BG25" s="75">
        <f t="shared" si="13"/>
        <v>0</v>
      </c>
      <c r="BH25" s="75">
        <f t="shared" si="13"/>
        <v>0</v>
      </c>
    </row>
    <row r="26" spans="2:60" ht="21" customHeight="1" x14ac:dyDescent="0.3">
      <c r="B26" s="60" t="s">
        <v>264</v>
      </c>
      <c r="C26" s="48">
        <f>Virtual!C9</f>
        <v>43922</v>
      </c>
      <c r="D26" s="48"/>
      <c r="E26" s="47">
        <f>Virtual!C10</f>
        <v>36</v>
      </c>
      <c r="F26" s="75">
        <f>Virtual!C38</f>
        <v>-5900.0000000000009</v>
      </c>
      <c r="G26" s="75"/>
      <c r="H26" s="75">
        <f>IFERROR(MIN(1,MAX(0,(EOMONTH(H$4,0)+1-$C26)/(EDATE($C26,$E26)-$C26)))*$F26/12+IF(AND(H$4&gt;=EOMONTH($C26,0),H$4&lt;=EOMONTH($C26,11)),$G26/12,0),0)</f>
        <v>0</v>
      </c>
      <c r="I26" s="75">
        <f t="shared" ref="I26:BC26" si="18">IFERROR(MIN(1,MAX(0,(EOMONTH(I$4,0)+1-$C26)/(EDATE($C26,$E26)-$C26)))*$F26/12+IF(AND(I$4&gt;=EOMONTH($C26,0),I$4&lt;=EOMONTH($C26,11)),$G26/12,0),0)</f>
        <v>0</v>
      </c>
      <c r="J26" s="75">
        <f t="shared" si="18"/>
        <v>0</v>
      </c>
      <c r="K26" s="75">
        <f t="shared" si="18"/>
        <v>0</v>
      </c>
      <c r="L26" s="75">
        <f t="shared" si="18"/>
        <v>0</v>
      </c>
      <c r="M26" s="75">
        <f t="shared" si="18"/>
        <v>0</v>
      </c>
      <c r="N26" s="75">
        <f t="shared" si="18"/>
        <v>0</v>
      </c>
      <c r="O26" s="75">
        <f t="shared" si="18"/>
        <v>0</v>
      </c>
      <c r="P26" s="75">
        <f t="shared" si="18"/>
        <v>0</v>
      </c>
      <c r="Q26" s="75">
        <f t="shared" si="18"/>
        <v>0</v>
      </c>
      <c r="R26" s="75">
        <f t="shared" si="18"/>
        <v>0</v>
      </c>
      <c r="S26" s="75">
        <f t="shared" si="18"/>
        <v>0</v>
      </c>
      <c r="T26" s="75">
        <f t="shared" si="18"/>
        <v>-13.470319634703197</v>
      </c>
      <c r="U26" s="75">
        <f t="shared" si="18"/>
        <v>-27.389649923896503</v>
      </c>
      <c r="V26" s="75">
        <f t="shared" si="18"/>
        <v>-40.859969558599701</v>
      </c>
      <c r="W26" s="75">
        <f t="shared" si="18"/>
        <v>-54.779299847793006</v>
      </c>
      <c r="X26" s="75">
        <f t="shared" si="18"/>
        <v>-68.698630136986324</v>
      </c>
      <c r="Y26" s="75">
        <f t="shared" si="18"/>
        <v>-82.168949771689512</v>
      </c>
      <c r="Z26" s="75">
        <f t="shared" si="18"/>
        <v>-96.088280060882823</v>
      </c>
      <c r="AA26" s="75">
        <f t="shared" si="18"/>
        <v>-109.55859969558601</v>
      </c>
      <c r="AB26" s="75">
        <f t="shared" si="18"/>
        <v>-123.47792998477932</v>
      </c>
      <c r="AC26" s="75">
        <f t="shared" si="18"/>
        <v>-137.39726027397265</v>
      </c>
      <c r="AD26" s="75">
        <f t="shared" si="18"/>
        <v>-149.9695585996956</v>
      </c>
      <c r="AE26" s="75">
        <f t="shared" si="18"/>
        <v>-163.88888888888891</v>
      </c>
      <c r="AF26" s="75">
        <f t="shared" si="18"/>
        <v>-177.35920852359209</v>
      </c>
      <c r="AG26" s="75">
        <f t="shared" si="18"/>
        <v>-191.27853881278543</v>
      </c>
      <c r="AH26" s="75">
        <f t="shared" si="18"/>
        <v>-204.74885844748863</v>
      </c>
      <c r="AI26" s="75">
        <f t="shared" si="18"/>
        <v>-218.66818873668191</v>
      </c>
      <c r="AJ26" s="75">
        <f t="shared" si="18"/>
        <v>-232.58751902587525</v>
      </c>
      <c r="AK26" s="75">
        <f t="shared" si="18"/>
        <v>-246.05783866057843</v>
      </c>
      <c r="AL26" s="75">
        <f t="shared" si="18"/>
        <v>-259.97716894977174</v>
      </c>
      <c r="AM26" s="75">
        <f t="shared" si="18"/>
        <v>-273.44748858447497</v>
      </c>
      <c r="AN26" s="75">
        <f t="shared" si="18"/>
        <v>-287.36681887366825</v>
      </c>
      <c r="AO26" s="75">
        <f t="shared" si="18"/>
        <v>-301.28614916286153</v>
      </c>
      <c r="AP26" s="75">
        <f t="shared" si="18"/>
        <v>-313.85844748858455</v>
      </c>
      <c r="AQ26" s="75">
        <f t="shared" si="18"/>
        <v>-327.77777777777783</v>
      </c>
      <c r="AR26" s="75">
        <f t="shared" si="18"/>
        <v>-341.248097412481</v>
      </c>
      <c r="AS26" s="75">
        <f t="shared" si="18"/>
        <v>-355.16742770167434</v>
      </c>
      <c r="AT26" s="75">
        <f t="shared" si="18"/>
        <v>-368.63774733637752</v>
      </c>
      <c r="AU26" s="75">
        <f t="shared" si="18"/>
        <v>-382.55707762557086</v>
      </c>
      <c r="AV26" s="75">
        <f t="shared" si="18"/>
        <v>-396.4764079147642</v>
      </c>
      <c r="AW26" s="75">
        <f t="shared" si="18"/>
        <v>-409.94672754946737</v>
      </c>
      <c r="AX26" s="75">
        <f t="shared" si="18"/>
        <v>-423.86605783866065</v>
      </c>
      <c r="AY26" s="75">
        <f t="shared" si="18"/>
        <v>-437.33637747336383</v>
      </c>
      <c r="AZ26" s="75">
        <f t="shared" si="18"/>
        <v>-451.25570776255717</v>
      </c>
      <c r="BA26" s="75">
        <f t="shared" si="18"/>
        <v>-465.17503805175051</v>
      </c>
      <c r="BB26" s="75">
        <f t="shared" si="18"/>
        <v>-477.7473363774734</v>
      </c>
      <c r="BC26" s="75">
        <f t="shared" si="18"/>
        <v>-491.66666666666674</v>
      </c>
      <c r="BE26" s="75">
        <f t="shared" si="12"/>
        <v>0</v>
      </c>
      <c r="BF26" s="75">
        <f t="shared" si="13"/>
        <v>-1067.7473363774734</v>
      </c>
      <c r="BG26" s="75">
        <f t="shared" si="13"/>
        <v>-3034.4140030441408</v>
      </c>
      <c r="BH26" s="75">
        <f t="shared" si="13"/>
        <v>-5001.0806697108083</v>
      </c>
    </row>
    <row r="27" spans="2:60" ht="21" customHeight="1" x14ac:dyDescent="0.3">
      <c r="B27" s="60" t="s">
        <v>367</v>
      </c>
      <c r="C27" s="48">
        <f>C19</f>
        <v>43891</v>
      </c>
      <c r="D27" s="48">
        <f>D20</f>
        <v>44165</v>
      </c>
      <c r="E27" s="47">
        <v>1</v>
      </c>
      <c r="F27" s="75">
        <f>IF('Covid 19'!$C$3="No","",'Covid 19'!D47)</f>
        <v>937.50000000000114</v>
      </c>
      <c r="G27" s="75">
        <f>IF('Covid 19'!$C$3="No","",'Covid 19'!C47)</f>
        <v>4250.0000000000009</v>
      </c>
      <c r="H27" s="161">
        <f>IF(AND(H$5=1,$G27&lt;&gt;""),$G27-H26,IF(AND(H$5=2,$F27&lt;&gt;""),$F27-H26,0))</f>
        <v>0</v>
      </c>
      <c r="I27" s="161">
        <f t="shared" ref="I27:BC27" si="19">IF(AND(I$5=1,$G27&lt;&gt;""),$G27-I26,IF(AND(I$5=2,$F27&lt;&gt;""),$F27-I26,0))</f>
        <v>0</v>
      </c>
      <c r="J27" s="161">
        <f t="shared" si="19"/>
        <v>0</v>
      </c>
      <c r="K27" s="161">
        <f t="shared" si="19"/>
        <v>0</v>
      </c>
      <c r="L27" s="161">
        <f t="shared" si="19"/>
        <v>0</v>
      </c>
      <c r="M27" s="161">
        <f t="shared" si="19"/>
        <v>0</v>
      </c>
      <c r="N27" s="161">
        <f t="shared" si="19"/>
        <v>0</v>
      </c>
      <c r="O27" s="161">
        <f t="shared" si="19"/>
        <v>0</v>
      </c>
      <c r="P27" s="161">
        <f t="shared" si="19"/>
        <v>0</v>
      </c>
      <c r="Q27" s="161">
        <f t="shared" si="19"/>
        <v>0</v>
      </c>
      <c r="R27" s="161">
        <f t="shared" si="19"/>
        <v>0</v>
      </c>
      <c r="S27" s="161">
        <f t="shared" si="19"/>
        <v>4250.0000000000009</v>
      </c>
      <c r="T27" s="161">
        <f t="shared" si="19"/>
        <v>4263.4703196347045</v>
      </c>
      <c r="U27" s="161">
        <f t="shared" si="19"/>
        <v>4277.3896499238972</v>
      </c>
      <c r="V27" s="161">
        <f t="shared" si="19"/>
        <v>978.35996955860082</v>
      </c>
      <c r="W27" s="161">
        <f t="shared" si="19"/>
        <v>992.27929984779416</v>
      </c>
      <c r="X27" s="161">
        <f t="shared" si="19"/>
        <v>1006.1986301369875</v>
      </c>
      <c r="Y27" s="161">
        <f t="shared" si="19"/>
        <v>1019.6689497716907</v>
      </c>
      <c r="Z27" s="161">
        <f t="shared" si="19"/>
        <v>1033.588280060884</v>
      </c>
      <c r="AA27" s="161">
        <f t="shared" si="19"/>
        <v>1047.0585996955872</v>
      </c>
      <c r="AB27" s="161">
        <f t="shared" si="19"/>
        <v>0</v>
      </c>
      <c r="AC27" s="161">
        <f t="shared" si="19"/>
        <v>0</v>
      </c>
      <c r="AD27" s="161">
        <f t="shared" si="19"/>
        <v>0</v>
      </c>
      <c r="AE27" s="161">
        <f t="shared" si="19"/>
        <v>0</v>
      </c>
      <c r="AF27" s="161">
        <f t="shared" si="19"/>
        <v>0</v>
      </c>
      <c r="AG27" s="161">
        <f t="shared" si="19"/>
        <v>0</v>
      </c>
      <c r="AH27" s="161">
        <f t="shared" si="19"/>
        <v>0</v>
      </c>
      <c r="AI27" s="161">
        <f t="shared" si="19"/>
        <v>0</v>
      </c>
      <c r="AJ27" s="161">
        <f t="shared" si="19"/>
        <v>0</v>
      </c>
      <c r="AK27" s="161">
        <f t="shared" si="19"/>
        <v>0</v>
      </c>
      <c r="AL27" s="161">
        <f t="shared" si="19"/>
        <v>0</v>
      </c>
      <c r="AM27" s="161">
        <f t="shared" si="19"/>
        <v>0</v>
      </c>
      <c r="AN27" s="161">
        <f t="shared" si="19"/>
        <v>0</v>
      </c>
      <c r="AO27" s="161">
        <f t="shared" si="19"/>
        <v>0</v>
      </c>
      <c r="AP27" s="161">
        <f t="shared" si="19"/>
        <v>0</v>
      </c>
      <c r="AQ27" s="161">
        <f t="shared" si="19"/>
        <v>0</v>
      </c>
      <c r="AR27" s="161">
        <f t="shared" si="19"/>
        <v>0</v>
      </c>
      <c r="AS27" s="161">
        <f t="shared" si="19"/>
        <v>0</v>
      </c>
      <c r="AT27" s="161">
        <f t="shared" si="19"/>
        <v>0</v>
      </c>
      <c r="AU27" s="161">
        <f t="shared" si="19"/>
        <v>0</v>
      </c>
      <c r="AV27" s="161">
        <f t="shared" si="19"/>
        <v>0</v>
      </c>
      <c r="AW27" s="161">
        <f t="shared" si="19"/>
        <v>0</v>
      </c>
      <c r="AX27" s="161">
        <f t="shared" si="19"/>
        <v>0</v>
      </c>
      <c r="AY27" s="161">
        <f t="shared" si="19"/>
        <v>0</v>
      </c>
      <c r="AZ27" s="161">
        <f t="shared" si="19"/>
        <v>0</v>
      </c>
      <c r="BA27" s="161">
        <f t="shared" si="19"/>
        <v>0</v>
      </c>
      <c r="BB27" s="161">
        <f t="shared" si="19"/>
        <v>0</v>
      </c>
      <c r="BC27" s="161">
        <f t="shared" si="19"/>
        <v>0</v>
      </c>
      <c r="BE27" s="75">
        <f t="shared" si="12"/>
        <v>4250.0000000000009</v>
      </c>
      <c r="BF27" s="75">
        <f t="shared" si="13"/>
        <v>14618.013698630146</v>
      </c>
      <c r="BG27" s="75">
        <f t="shared" si="13"/>
        <v>0</v>
      </c>
      <c r="BH27" s="75">
        <f t="shared" si="13"/>
        <v>0</v>
      </c>
    </row>
    <row r="28" spans="2:60" ht="21" customHeight="1" x14ac:dyDescent="0.3">
      <c r="B28" s="60" t="s">
        <v>182</v>
      </c>
      <c r="C28" s="48">
        <f>YOC!C10</f>
        <v>43922</v>
      </c>
      <c r="D28" s="48"/>
      <c r="E28" s="47">
        <f>YOC!C11</f>
        <v>12</v>
      </c>
      <c r="F28" s="75">
        <f>IF(YOC_Include="Yes",YOC!C38,0)</f>
        <v>18833.333333333332</v>
      </c>
      <c r="G28" s="75"/>
      <c r="H28" s="75">
        <f>IFERROR(MIN(1,MAX(0,(EOMONTH(H$4,0)+1-$C28)/(EDATE($C28,$E28)-$C28)))*$F28/12+IF(AND(H$4&gt;=EOMONTH($C28,0),H$4&lt;=EOMONTH($C28,11)),$G28/12,0),0)</f>
        <v>0</v>
      </c>
      <c r="I28" s="75">
        <f t="shared" ref="I28:BC33" si="20">IFERROR(MIN(1,MAX(0,(EOMONTH(I$4,0)+1-$C28)/(EDATE($C28,$E28)-$C28)))*$F28/12+IF(AND(I$4&gt;=EOMONTH($C28,0),I$4&lt;=EOMONTH($C28,11)),$G28/12,0),0)</f>
        <v>0</v>
      </c>
      <c r="J28" s="75">
        <f t="shared" si="20"/>
        <v>0</v>
      </c>
      <c r="K28" s="75">
        <f t="shared" si="20"/>
        <v>0</v>
      </c>
      <c r="L28" s="75">
        <f t="shared" si="20"/>
        <v>0</v>
      </c>
      <c r="M28" s="75">
        <f t="shared" si="20"/>
        <v>0</v>
      </c>
      <c r="N28" s="75">
        <f t="shared" si="20"/>
        <v>0</v>
      </c>
      <c r="O28" s="75">
        <f t="shared" si="20"/>
        <v>0</v>
      </c>
      <c r="P28" s="75">
        <f t="shared" si="20"/>
        <v>0</v>
      </c>
      <c r="Q28" s="75">
        <f t="shared" si="20"/>
        <v>0</v>
      </c>
      <c r="R28" s="75">
        <f t="shared" si="20"/>
        <v>0</v>
      </c>
      <c r="S28" s="75">
        <f t="shared" si="20"/>
        <v>0</v>
      </c>
      <c r="T28" s="75">
        <f t="shared" si="20"/>
        <v>128.99543378995432</v>
      </c>
      <c r="U28" s="75">
        <f t="shared" si="20"/>
        <v>262.29071537290713</v>
      </c>
      <c r="V28" s="75">
        <f t="shared" si="20"/>
        <v>391.28614916286148</v>
      </c>
      <c r="W28" s="75">
        <f t="shared" si="20"/>
        <v>524.58143074581426</v>
      </c>
      <c r="X28" s="75">
        <f t="shared" si="20"/>
        <v>657.8767123287671</v>
      </c>
      <c r="Y28" s="75">
        <f t="shared" si="20"/>
        <v>786.8721461187215</v>
      </c>
      <c r="Z28" s="75">
        <f t="shared" si="20"/>
        <v>920.16742770167423</v>
      </c>
      <c r="AA28" s="75">
        <f t="shared" si="20"/>
        <v>1049.1628614916285</v>
      </c>
      <c r="AB28" s="75">
        <f t="shared" si="20"/>
        <v>1182.4581430745814</v>
      </c>
      <c r="AC28" s="75">
        <f t="shared" si="20"/>
        <v>1315.7534246575342</v>
      </c>
      <c r="AD28" s="75">
        <f t="shared" si="20"/>
        <v>1436.1491628614915</v>
      </c>
      <c r="AE28" s="75">
        <f t="shared" si="20"/>
        <v>1569.4444444444443</v>
      </c>
      <c r="AF28" s="75">
        <f t="shared" si="20"/>
        <v>1569.4444444444443</v>
      </c>
      <c r="AG28" s="75">
        <f t="shared" si="20"/>
        <v>1569.4444444444443</v>
      </c>
      <c r="AH28" s="75">
        <f t="shared" si="20"/>
        <v>1569.4444444444443</v>
      </c>
      <c r="AI28" s="75">
        <f t="shared" si="20"/>
        <v>1569.4444444444443</v>
      </c>
      <c r="AJ28" s="75">
        <f t="shared" si="20"/>
        <v>1569.4444444444443</v>
      </c>
      <c r="AK28" s="75">
        <f t="shared" si="20"/>
        <v>1569.4444444444443</v>
      </c>
      <c r="AL28" s="75">
        <f t="shared" si="20"/>
        <v>1569.4444444444443</v>
      </c>
      <c r="AM28" s="75">
        <f t="shared" si="20"/>
        <v>1569.4444444444443</v>
      </c>
      <c r="AN28" s="75">
        <f t="shared" si="20"/>
        <v>1569.4444444444443</v>
      </c>
      <c r="AO28" s="75">
        <f t="shared" si="20"/>
        <v>1569.4444444444443</v>
      </c>
      <c r="AP28" s="75">
        <f t="shared" si="20"/>
        <v>1569.4444444444443</v>
      </c>
      <c r="AQ28" s="75">
        <f t="shared" si="20"/>
        <v>1569.4444444444443</v>
      </c>
      <c r="AR28" s="75">
        <f t="shared" si="20"/>
        <v>1569.4444444444443</v>
      </c>
      <c r="AS28" s="75">
        <f t="shared" si="20"/>
        <v>1569.4444444444443</v>
      </c>
      <c r="AT28" s="75">
        <f t="shared" si="20"/>
        <v>1569.4444444444443</v>
      </c>
      <c r="AU28" s="75">
        <f t="shared" si="20"/>
        <v>1569.4444444444443</v>
      </c>
      <c r="AV28" s="75">
        <f t="shared" si="20"/>
        <v>1569.4444444444443</v>
      </c>
      <c r="AW28" s="75">
        <f t="shared" si="20"/>
        <v>1569.4444444444443</v>
      </c>
      <c r="AX28" s="75">
        <f t="shared" si="20"/>
        <v>1569.4444444444443</v>
      </c>
      <c r="AY28" s="75">
        <f t="shared" si="20"/>
        <v>1569.4444444444443</v>
      </c>
      <c r="AZ28" s="75">
        <f t="shared" si="20"/>
        <v>1569.4444444444443</v>
      </c>
      <c r="BA28" s="75">
        <f t="shared" si="20"/>
        <v>1569.4444444444443</v>
      </c>
      <c r="BB28" s="75">
        <f t="shared" si="20"/>
        <v>1569.4444444444443</v>
      </c>
      <c r="BC28" s="75">
        <f t="shared" si="20"/>
        <v>1569.4444444444443</v>
      </c>
      <c r="BE28" s="75">
        <f t="shared" si="12"/>
        <v>0</v>
      </c>
      <c r="BF28" s="75">
        <f t="shared" si="13"/>
        <v>10225.03805175038</v>
      </c>
      <c r="BG28" s="75">
        <f t="shared" si="13"/>
        <v>18833.333333333336</v>
      </c>
      <c r="BH28" s="75">
        <f t="shared" si="13"/>
        <v>18833.333333333336</v>
      </c>
    </row>
    <row r="29" spans="2:60" ht="21" customHeight="1" x14ac:dyDescent="0.3">
      <c r="B29" s="60" t="s">
        <v>76</v>
      </c>
      <c r="C29" s="48">
        <f>'Extended Hours'!C3</f>
        <v>43922</v>
      </c>
      <c r="D29" s="48"/>
      <c r="E29" s="47">
        <v>1</v>
      </c>
      <c r="F29" s="75">
        <v>0</v>
      </c>
      <c r="G29" s="75"/>
      <c r="H29" s="75">
        <f>IFERROR(MIN(1,MAX(0,(EOMONTH(H$4,0)+1-$C29)/(EDATE($C29,$E29)-$C29)))*$F29/12+IF(AND(H$4&gt;=EOMONTH($C29,0),H$4&lt;=EOMONTH($C29,11)),$G29/12,0),0)</f>
        <v>0</v>
      </c>
      <c r="I29" s="75">
        <f t="shared" si="20"/>
        <v>0</v>
      </c>
      <c r="J29" s="75">
        <f t="shared" si="20"/>
        <v>0</v>
      </c>
      <c r="K29" s="75">
        <f t="shared" si="20"/>
        <v>0</v>
      </c>
      <c r="L29" s="75">
        <f t="shared" si="20"/>
        <v>0</v>
      </c>
      <c r="M29" s="75">
        <f t="shared" si="20"/>
        <v>0</v>
      </c>
      <c r="N29" s="75">
        <f t="shared" si="20"/>
        <v>0</v>
      </c>
      <c r="O29" s="75">
        <f t="shared" si="20"/>
        <v>0</v>
      </c>
      <c r="P29" s="75">
        <f t="shared" si="20"/>
        <v>0</v>
      </c>
      <c r="Q29" s="75">
        <f t="shared" si="20"/>
        <v>0</v>
      </c>
      <c r="R29" s="75">
        <f t="shared" si="20"/>
        <v>0</v>
      </c>
      <c r="S29" s="75">
        <f t="shared" si="20"/>
        <v>0</v>
      </c>
      <c r="T29" s="75">
        <f t="shared" si="20"/>
        <v>0</v>
      </c>
      <c r="U29" s="75">
        <f t="shared" si="20"/>
        <v>0</v>
      </c>
      <c r="V29" s="75">
        <f t="shared" si="20"/>
        <v>0</v>
      </c>
      <c r="W29" s="75">
        <f t="shared" si="20"/>
        <v>0</v>
      </c>
      <c r="X29" s="75">
        <f t="shared" si="20"/>
        <v>0</v>
      </c>
      <c r="Y29" s="75">
        <f t="shared" si="20"/>
        <v>0</v>
      </c>
      <c r="Z29" s="75">
        <f t="shared" si="20"/>
        <v>0</v>
      </c>
      <c r="AA29" s="75">
        <f t="shared" si="20"/>
        <v>0</v>
      </c>
      <c r="AB29" s="75">
        <f t="shared" si="20"/>
        <v>0</v>
      </c>
      <c r="AC29" s="75">
        <f t="shared" si="20"/>
        <v>0</v>
      </c>
      <c r="AD29" s="75">
        <f t="shared" si="20"/>
        <v>0</v>
      </c>
      <c r="AE29" s="75">
        <f t="shared" si="20"/>
        <v>0</v>
      </c>
      <c r="AF29" s="75">
        <f t="shared" si="20"/>
        <v>0</v>
      </c>
      <c r="AG29" s="75">
        <f t="shared" si="20"/>
        <v>0</v>
      </c>
      <c r="AH29" s="75">
        <f t="shared" si="20"/>
        <v>0</v>
      </c>
      <c r="AI29" s="75">
        <f t="shared" si="20"/>
        <v>0</v>
      </c>
      <c r="AJ29" s="75">
        <f t="shared" si="20"/>
        <v>0</v>
      </c>
      <c r="AK29" s="75">
        <f t="shared" si="20"/>
        <v>0</v>
      </c>
      <c r="AL29" s="75">
        <f t="shared" si="20"/>
        <v>0</v>
      </c>
      <c r="AM29" s="75">
        <f t="shared" si="20"/>
        <v>0</v>
      </c>
      <c r="AN29" s="75">
        <f t="shared" si="20"/>
        <v>0</v>
      </c>
      <c r="AO29" s="75">
        <f t="shared" si="20"/>
        <v>0</v>
      </c>
      <c r="AP29" s="75">
        <f t="shared" si="20"/>
        <v>0</v>
      </c>
      <c r="AQ29" s="75">
        <f t="shared" si="20"/>
        <v>0</v>
      </c>
      <c r="AR29" s="75">
        <f t="shared" si="20"/>
        <v>0</v>
      </c>
      <c r="AS29" s="75">
        <f t="shared" si="20"/>
        <v>0</v>
      </c>
      <c r="AT29" s="75">
        <f t="shared" si="20"/>
        <v>0</v>
      </c>
      <c r="AU29" s="75">
        <f t="shared" si="20"/>
        <v>0</v>
      </c>
      <c r="AV29" s="75">
        <f t="shared" si="20"/>
        <v>0</v>
      </c>
      <c r="AW29" s="75">
        <f t="shared" si="20"/>
        <v>0</v>
      </c>
      <c r="AX29" s="75">
        <f t="shared" si="20"/>
        <v>0</v>
      </c>
      <c r="AY29" s="75">
        <f t="shared" si="20"/>
        <v>0</v>
      </c>
      <c r="AZ29" s="75">
        <f t="shared" si="20"/>
        <v>0</v>
      </c>
      <c r="BA29" s="75">
        <f t="shared" si="20"/>
        <v>0</v>
      </c>
      <c r="BB29" s="75">
        <f t="shared" si="20"/>
        <v>0</v>
      </c>
      <c r="BC29" s="75">
        <f t="shared" si="20"/>
        <v>0</v>
      </c>
      <c r="BE29" s="75">
        <f t="shared" si="12"/>
        <v>0</v>
      </c>
      <c r="BF29" s="75">
        <f t="shared" si="13"/>
        <v>0</v>
      </c>
      <c r="BG29" s="75">
        <f t="shared" si="13"/>
        <v>0</v>
      </c>
      <c r="BH29" s="75">
        <f t="shared" si="13"/>
        <v>0</v>
      </c>
    </row>
    <row r="30" spans="2:60" ht="21" customHeight="1" x14ac:dyDescent="0.3">
      <c r="B30" s="60" t="s">
        <v>61</v>
      </c>
      <c r="C30" s="48">
        <f>MDT!C3</f>
        <v>43922</v>
      </c>
      <c r="D30" s="48"/>
      <c r="E30" s="47">
        <f>MDT!C4</f>
        <v>6</v>
      </c>
      <c r="F30" s="75">
        <f>MDT!C29</f>
        <v>-624</v>
      </c>
      <c r="G30" s="75"/>
      <c r="H30" s="75">
        <f>IFERROR(MIN(1,MAX(0,(EOMONTH(H$4,0)+1-$C30)/(EDATE($C30,$E30)-$C30)))*$F30/12+IF(AND(H$4&gt;=EOMONTH($C30,0),H$4&lt;=EOMONTH($C30,11)),$G30/12,0),0)</f>
        <v>0</v>
      </c>
      <c r="I30" s="75">
        <f t="shared" si="20"/>
        <v>0</v>
      </c>
      <c r="J30" s="75">
        <f t="shared" si="20"/>
        <v>0</v>
      </c>
      <c r="K30" s="75">
        <f t="shared" si="20"/>
        <v>0</v>
      </c>
      <c r="L30" s="75">
        <f t="shared" si="20"/>
        <v>0</v>
      </c>
      <c r="M30" s="75">
        <f t="shared" si="20"/>
        <v>0</v>
      </c>
      <c r="N30" s="75">
        <f t="shared" si="20"/>
        <v>0</v>
      </c>
      <c r="O30" s="75">
        <f t="shared" si="20"/>
        <v>0</v>
      </c>
      <c r="P30" s="75">
        <f t="shared" si="20"/>
        <v>0</v>
      </c>
      <c r="Q30" s="75">
        <f t="shared" si="20"/>
        <v>0</v>
      </c>
      <c r="R30" s="75">
        <f t="shared" si="20"/>
        <v>0</v>
      </c>
      <c r="S30" s="75">
        <f t="shared" si="20"/>
        <v>0</v>
      </c>
      <c r="T30" s="75">
        <f t="shared" si="20"/>
        <v>-8.524590163934425</v>
      </c>
      <c r="U30" s="75">
        <f t="shared" si="20"/>
        <v>-17.333333333333332</v>
      </c>
      <c r="V30" s="75">
        <f t="shared" si="20"/>
        <v>-25.857923497267759</v>
      </c>
      <c r="W30" s="75">
        <f t="shared" si="20"/>
        <v>-34.666666666666664</v>
      </c>
      <c r="X30" s="75">
        <f t="shared" si="20"/>
        <v>-43.47540983606558</v>
      </c>
      <c r="Y30" s="75">
        <f t="shared" si="20"/>
        <v>-52</v>
      </c>
      <c r="Z30" s="75">
        <f t="shared" si="20"/>
        <v>-52</v>
      </c>
      <c r="AA30" s="75">
        <f t="shared" si="20"/>
        <v>-52</v>
      </c>
      <c r="AB30" s="75">
        <f t="shared" si="20"/>
        <v>-52</v>
      </c>
      <c r="AC30" s="75">
        <f t="shared" si="20"/>
        <v>-52</v>
      </c>
      <c r="AD30" s="75">
        <f t="shared" si="20"/>
        <v>-52</v>
      </c>
      <c r="AE30" s="75">
        <f t="shared" si="20"/>
        <v>-52</v>
      </c>
      <c r="AF30" s="75">
        <f t="shared" si="20"/>
        <v>-52</v>
      </c>
      <c r="AG30" s="75">
        <f t="shared" si="20"/>
        <v>-52</v>
      </c>
      <c r="AH30" s="75">
        <f t="shared" si="20"/>
        <v>-52</v>
      </c>
      <c r="AI30" s="75">
        <f t="shared" si="20"/>
        <v>-52</v>
      </c>
      <c r="AJ30" s="75">
        <f t="shared" si="20"/>
        <v>-52</v>
      </c>
      <c r="AK30" s="75">
        <f t="shared" si="20"/>
        <v>-52</v>
      </c>
      <c r="AL30" s="75">
        <f t="shared" si="20"/>
        <v>-52</v>
      </c>
      <c r="AM30" s="75">
        <f t="shared" si="20"/>
        <v>-52</v>
      </c>
      <c r="AN30" s="75">
        <f t="shared" si="20"/>
        <v>-52</v>
      </c>
      <c r="AO30" s="75">
        <f t="shared" si="20"/>
        <v>-52</v>
      </c>
      <c r="AP30" s="75">
        <f t="shared" si="20"/>
        <v>-52</v>
      </c>
      <c r="AQ30" s="75">
        <f t="shared" si="20"/>
        <v>-52</v>
      </c>
      <c r="AR30" s="75">
        <f t="shared" si="20"/>
        <v>-52</v>
      </c>
      <c r="AS30" s="75">
        <f t="shared" si="20"/>
        <v>-52</v>
      </c>
      <c r="AT30" s="75">
        <f t="shared" si="20"/>
        <v>-52</v>
      </c>
      <c r="AU30" s="75">
        <f t="shared" si="20"/>
        <v>-52</v>
      </c>
      <c r="AV30" s="75">
        <f t="shared" si="20"/>
        <v>-52</v>
      </c>
      <c r="AW30" s="75">
        <f t="shared" si="20"/>
        <v>-52</v>
      </c>
      <c r="AX30" s="75">
        <f t="shared" si="20"/>
        <v>-52</v>
      </c>
      <c r="AY30" s="75">
        <f t="shared" si="20"/>
        <v>-52</v>
      </c>
      <c r="AZ30" s="75">
        <f t="shared" si="20"/>
        <v>-52</v>
      </c>
      <c r="BA30" s="75">
        <f t="shared" si="20"/>
        <v>-52</v>
      </c>
      <c r="BB30" s="75">
        <f t="shared" si="20"/>
        <v>-52</v>
      </c>
      <c r="BC30" s="75">
        <f t="shared" si="20"/>
        <v>-52</v>
      </c>
      <c r="BE30" s="75">
        <f t="shared" si="12"/>
        <v>0</v>
      </c>
      <c r="BF30" s="75">
        <f t="shared" si="13"/>
        <v>-493.85792349726773</v>
      </c>
      <c r="BG30" s="75">
        <f t="shared" si="13"/>
        <v>-624</v>
      </c>
      <c r="BH30" s="75">
        <f t="shared" si="13"/>
        <v>-624</v>
      </c>
    </row>
    <row r="31" spans="2:60" ht="21" customHeight="1" x14ac:dyDescent="0.3">
      <c r="B31" s="60" t="s">
        <v>3</v>
      </c>
      <c r="C31" s="48">
        <f>Huddles!C3</f>
        <v>43922</v>
      </c>
      <c r="D31" s="48"/>
      <c r="E31" s="47">
        <v>1</v>
      </c>
      <c r="F31" s="75">
        <f>Huddles!H13</f>
        <v>-19011.199999999997</v>
      </c>
      <c r="G31" s="75"/>
      <c r="H31" s="75">
        <f>IFERROR(MIN(1,MAX(0,(EOMONTH(H$4,0)+1-$C31)/(EDATE($C31,$E31)-$C31)))*$F31/12+IF(AND(H$4&gt;=EOMONTH($C31,0),H$4&lt;=EOMONTH($C31,11)),$G31/12,0),0)</f>
        <v>0</v>
      </c>
      <c r="I31" s="75">
        <f t="shared" si="20"/>
        <v>0</v>
      </c>
      <c r="J31" s="75">
        <f t="shared" si="20"/>
        <v>0</v>
      </c>
      <c r="K31" s="75">
        <f t="shared" si="20"/>
        <v>0</v>
      </c>
      <c r="L31" s="75">
        <f t="shared" si="20"/>
        <v>0</v>
      </c>
      <c r="M31" s="75">
        <f t="shared" si="20"/>
        <v>0</v>
      </c>
      <c r="N31" s="75">
        <f t="shared" si="20"/>
        <v>0</v>
      </c>
      <c r="O31" s="75">
        <f t="shared" si="20"/>
        <v>0</v>
      </c>
      <c r="P31" s="75">
        <f t="shared" si="20"/>
        <v>0</v>
      </c>
      <c r="Q31" s="75">
        <f t="shared" si="20"/>
        <v>0</v>
      </c>
      <c r="R31" s="75">
        <f t="shared" si="20"/>
        <v>0</v>
      </c>
      <c r="S31" s="75">
        <f t="shared" si="20"/>
        <v>0</v>
      </c>
      <c r="T31" s="75">
        <f t="shared" si="20"/>
        <v>-1584.2666666666664</v>
      </c>
      <c r="U31" s="75">
        <f t="shared" si="20"/>
        <v>-1584.2666666666664</v>
      </c>
      <c r="V31" s="75">
        <f t="shared" si="20"/>
        <v>-1584.2666666666664</v>
      </c>
      <c r="W31" s="75">
        <f t="shared" si="20"/>
        <v>-1584.2666666666664</v>
      </c>
      <c r="X31" s="75">
        <f t="shared" si="20"/>
        <v>-1584.2666666666664</v>
      </c>
      <c r="Y31" s="75">
        <f t="shared" si="20"/>
        <v>-1584.2666666666664</v>
      </c>
      <c r="Z31" s="75">
        <f t="shared" si="20"/>
        <v>-1584.2666666666664</v>
      </c>
      <c r="AA31" s="75">
        <f t="shared" si="20"/>
        <v>-1584.2666666666664</v>
      </c>
      <c r="AB31" s="75">
        <f t="shared" si="20"/>
        <v>-1584.2666666666664</v>
      </c>
      <c r="AC31" s="75">
        <f t="shared" si="20"/>
        <v>-1584.2666666666664</v>
      </c>
      <c r="AD31" s="75">
        <f t="shared" si="20"/>
        <v>-1584.2666666666664</v>
      </c>
      <c r="AE31" s="75">
        <f t="shared" si="20"/>
        <v>-1584.2666666666664</v>
      </c>
      <c r="AF31" s="75">
        <f t="shared" si="20"/>
        <v>-1584.2666666666664</v>
      </c>
      <c r="AG31" s="75">
        <f t="shared" si="20"/>
        <v>-1584.2666666666664</v>
      </c>
      <c r="AH31" s="75">
        <f t="shared" si="20"/>
        <v>-1584.2666666666664</v>
      </c>
      <c r="AI31" s="75">
        <f t="shared" si="20"/>
        <v>-1584.2666666666664</v>
      </c>
      <c r="AJ31" s="75">
        <f t="shared" si="20"/>
        <v>-1584.2666666666664</v>
      </c>
      <c r="AK31" s="75">
        <f t="shared" si="20"/>
        <v>-1584.2666666666664</v>
      </c>
      <c r="AL31" s="75">
        <f t="shared" si="20"/>
        <v>-1584.2666666666664</v>
      </c>
      <c r="AM31" s="75">
        <f t="shared" si="20"/>
        <v>-1584.2666666666664</v>
      </c>
      <c r="AN31" s="75">
        <f t="shared" si="20"/>
        <v>-1584.2666666666664</v>
      </c>
      <c r="AO31" s="75">
        <f t="shared" si="20"/>
        <v>-1584.2666666666664</v>
      </c>
      <c r="AP31" s="75">
        <f t="shared" si="20"/>
        <v>-1584.2666666666664</v>
      </c>
      <c r="AQ31" s="75">
        <f t="shared" si="20"/>
        <v>-1584.2666666666664</v>
      </c>
      <c r="AR31" s="75">
        <f t="shared" si="20"/>
        <v>-1584.2666666666664</v>
      </c>
      <c r="AS31" s="75">
        <f t="shared" si="20"/>
        <v>-1584.2666666666664</v>
      </c>
      <c r="AT31" s="75">
        <f t="shared" si="20"/>
        <v>-1584.2666666666664</v>
      </c>
      <c r="AU31" s="75">
        <f t="shared" si="20"/>
        <v>-1584.2666666666664</v>
      </c>
      <c r="AV31" s="75">
        <f t="shared" si="20"/>
        <v>-1584.2666666666664</v>
      </c>
      <c r="AW31" s="75">
        <f t="shared" si="20"/>
        <v>-1584.2666666666664</v>
      </c>
      <c r="AX31" s="75">
        <f t="shared" si="20"/>
        <v>-1584.2666666666664</v>
      </c>
      <c r="AY31" s="75">
        <f t="shared" si="20"/>
        <v>-1584.2666666666664</v>
      </c>
      <c r="AZ31" s="75">
        <f t="shared" si="20"/>
        <v>-1584.2666666666664</v>
      </c>
      <c r="BA31" s="75">
        <f t="shared" si="20"/>
        <v>-1584.2666666666664</v>
      </c>
      <c r="BB31" s="75">
        <f t="shared" si="20"/>
        <v>-1584.2666666666664</v>
      </c>
      <c r="BC31" s="75">
        <f t="shared" si="20"/>
        <v>-1584.2666666666664</v>
      </c>
      <c r="BE31" s="75">
        <f t="shared" si="12"/>
        <v>0</v>
      </c>
      <c r="BF31" s="75">
        <f t="shared" si="13"/>
        <v>-19011.199999999997</v>
      </c>
      <c r="BG31" s="75">
        <f t="shared" si="13"/>
        <v>-19011.199999999997</v>
      </c>
      <c r="BH31" s="75">
        <f t="shared" si="13"/>
        <v>-19011.199999999997</v>
      </c>
    </row>
    <row r="32" spans="2:60" ht="21" customHeight="1" x14ac:dyDescent="0.3">
      <c r="B32" s="60" t="s">
        <v>63</v>
      </c>
      <c r="C32" s="48">
        <f>HCA!C3</f>
        <v>43922</v>
      </c>
      <c r="D32" s="48"/>
      <c r="E32" s="47">
        <f>HCA!C4</f>
        <v>6</v>
      </c>
      <c r="F32" s="75">
        <f>HCA!C37</f>
        <v>6144</v>
      </c>
      <c r="G32" s="75"/>
      <c r="H32" s="75">
        <f>IFERROR(MIN(1,MAX(0,(EOMONTH(H$4,0)+1-$C32)/(EDATE($C32,$E32)-$C32)))*$F32/12+IF(AND(H$4&gt;=EOMONTH($C32,0),H$4&lt;=EOMONTH($C32,11)),$G32/12,0),0)</f>
        <v>0</v>
      </c>
      <c r="I32" s="75">
        <f t="shared" si="20"/>
        <v>0</v>
      </c>
      <c r="J32" s="75">
        <f t="shared" si="20"/>
        <v>0</v>
      </c>
      <c r="K32" s="75">
        <f t="shared" si="20"/>
        <v>0</v>
      </c>
      <c r="L32" s="75">
        <f t="shared" si="20"/>
        <v>0</v>
      </c>
      <c r="M32" s="75">
        <f t="shared" si="20"/>
        <v>0</v>
      </c>
      <c r="N32" s="75">
        <f t="shared" si="20"/>
        <v>0</v>
      </c>
      <c r="O32" s="75">
        <f t="shared" si="20"/>
        <v>0</v>
      </c>
      <c r="P32" s="75">
        <f t="shared" si="20"/>
        <v>0</v>
      </c>
      <c r="Q32" s="75">
        <f t="shared" si="20"/>
        <v>0</v>
      </c>
      <c r="R32" s="75">
        <f t="shared" si="20"/>
        <v>0</v>
      </c>
      <c r="S32" s="75">
        <f t="shared" si="20"/>
        <v>0</v>
      </c>
      <c r="T32" s="75">
        <f t="shared" si="20"/>
        <v>83.93442622950819</v>
      </c>
      <c r="U32" s="75">
        <f t="shared" si="20"/>
        <v>170.66666666666666</v>
      </c>
      <c r="V32" s="75">
        <f t="shared" si="20"/>
        <v>254.60109289617489</v>
      </c>
      <c r="W32" s="75">
        <f t="shared" si="20"/>
        <v>341.33333333333331</v>
      </c>
      <c r="X32" s="75">
        <f t="shared" si="20"/>
        <v>428.06557377049177</v>
      </c>
      <c r="Y32" s="75">
        <f t="shared" si="20"/>
        <v>512</v>
      </c>
      <c r="Z32" s="75">
        <f t="shared" si="20"/>
        <v>512</v>
      </c>
      <c r="AA32" s="75">
        <f t="shared" si="20"/>
        <v>512</v>
      </c>
      <c r="AB32" s="75">
        <f t="shared" si="20"/>
        <v>512</v>
      </c>
      <c r="AC32" s="75">
        <f t="shared" si="20"/>
        <v>512</v>
      </c>
      <c r="AD32" s="75">
        <f t="shared" si="20"/>
        <v>512</v>
      </c>
      <c r="AE32" s="75">
        <f t="shared" si="20"/>
        <v>512</v>
      </c>
      <c r="AF32" s="75">
        <f t="shared" si="20"/>
        <v>512</v>
      </c>
      <c r="AG32" s="75">
        <f t="shared" si="20"/>
        <v>512</v>
      </c>
      <c r="AH32" s="75">
        <f t="shared" si="20"/>
        <v>512</v>
      </c>
      <c r="AI32" s="75">
        <f t="shared" si="20"/>
        <v>512</v>
      </c>
      <c r="AJ32" s="75">
        <f t="shared" si="20"/>
        <v>512</v>
      </c>
      <c r="AK32" s="75">
        <f t="shared" si="20"/>
        <v>512</v>
      </c>
      <c r="AL32" s="75">
        <f t="shared" si="20"/>
        <v>512</v>
      </c>
      <c r="AM32" s="75">
        <f t="shared" si="20"/>
        <v>512</v>
      </c>
      <c r="AN32" s="75">
        <f t="shared" si="20"/>
        <v>512</v>
      </c>
      <c r="AO32" s="75">
        <f t="shared" si="20"/>
        <v>512</v>
      </c>
      <c r="AP32" s="75">
        <f t="shared" si="20"/>
        <v>512</v>
      </c>
      <c r="AQ32" s="75">
        <f t="shared" si="20"/>
        <v>512</v>
      </c>
      <c r="AR32" s="75">
        <f t="shared" si="20"/>
        <v>512</v>
      </c>
      <c r="AS32" s="75">
        <f t="shared" si="20"/>
        <v>512</v>
      </c>
      <c r="AT32" s="75">
        <f t="shared" si="20"/>
        <v>512</v>
      </c>
      <c r="AU32" s="75">
        <f t="shared" si="20"/>
        <v>512</v>
      </c>
      <c r="AV32" s="75">
        <f t="shared" si="20"/>
        <v>512</v>
      </c>
      <c r="AW32" s="75">
        <f t="shared" si="20"/>
        <v>512</v>
      </c>
      <c r="AX32" s="75">
        <f t="shared" si="20"/>
        <v>512</v>
      </c>
      <c r="AY32" s="75">
        <f t="shared" si="20"/>
        <v>512</v>
      </c>
      <c r="AZ32" s="75">
        <f t="shared" si="20"/>
        <v>512</v>
      </c>
      <c r="BA32" s="75">
        <f t="shared" si="20"/>
        <v>512</v>
      </c>
      <c r="BB32" s="75">
        <f t="shared" si="20"/>
        <v>512</v>
      </c>
      <c r="BC32" s="75">
        <f t="shared" si="20"/>
        <v>512</v>
      </c>
      <c r="BD32" s="50"/>
      <c r="BE32" s="75">
        <f t="shared" si="12"/>
        <v>0</v>
      </c>
      <c r="BF32" s="75">
        <f t="shared" si="13"/>
        <v>4862.601092896175</v>
      </c>
      <c r="BG32" s="75">
        <f t="shared" si="13"/>
        <v>6144</v>
      </c>
      <c r="BH32" s="75">
        <f t="shared" si="13"/>
        <v>6144</v>
      </c>
    </row>
    <row r="33" spans="2:60" ht="21" customHeight="1" x14ac:dyDescent="0.3">
      <c r="B33" s="60" t="s">
        <v>77</v>
      </c>
      <c r="C33" s="48">
        <f>'Patient Portal'!C8</f>
        <v>43922</v>
      </c>
      <c r="D33" s="48"/>
      <c r="E33" s="47">
        <f>'Patient Portal'!C9</f>
        <v>36</v>
      </c>
      <c r="F33" s="75">
        <f>'Patient Portal'!C16+'Patient Portal'!D16</f>
        <v>-19587.360000000008</v>
      </c>
      <c r="G33" s="75"/>
      <c r="H33" s="75">
        <f>IFERROR(MIN(1,MAX(0,(EOMONTH(H$4,0)+1-$C33)/(EDATE($C33,$E33)-$C33)))*$F33/12+IF(AND(H$4&gt;=EOMONTH($C33,0),H$4&lt;=EOMONTH($C33,11)),$G33/12,0),0)</f>
        <v>0</v>
      </c>
      <c r="I33" s="75">
        <f t="shared" si="20"/>
        <v>0</v>
      </c>
      <c r="J33" s="75">
        <f t="shared" si="20"/>
        <v>0</v>
      </c>
      <c r="K33" s="75">
        <f t="shared" si="20"/>
        <v>0</v>
      </c>
      <c r="L33" s="75">
        <f t="shared" si="20"/>
        <v>0</v>
      </c>
      <c r="M33" s="75">
        <f t="shared" si="20"/>
        <v>0</v>
      </c>
      <c r="N33" s="75">
        <f t="shared" si="20"/>
        <v>0</v>
      </c>
      <c r="O33" s="75">
        <f t="shared" si="20"/>
        <v>0</v>
      </c>
      <c r="P33" s="75">
        <f t="shared" si="20"/>
        <v>0</v>
      </c>
      <c r="Q33" s="75">
        <f t="shared" si="20"/>
        <v>0</v>
      </c>
      <c r="R33" s="75">
        <f t="shared" si="20"/>
        <v>0</v>
      </c>
      <c r="S33" s="75">
        <f t="shared" si="20"/>
        <v>0</v>
      </c>
      <c r="T33" s="75">
        <f t="shared" si="20"/>
        <v>-44.72000000000002</v>
      </c>
      <c r="U33" s="75">
        <f t="shared" si="20"/>
        <v>-90.93066666666671</v>
      </c>
      <c r="V33" s="75">
        <f t="shared" si="20"/>
        <v>-135.65066666666672</v>
      </c>
      <c r="W33" s="75">
        <f t="shared" si="20"/>
        <v>-181.86133333333342</v>
      </c>
      <c r="X33" s="75">
        <f t="shared" si="20"/>
        <v>-228.07200000000012</v>
      </c>
      <c r="Y33" s="75">
        <f t="shared" si="20"/>
        <v>-272.79200000000009</v>
      </c>
      <c r="Z33" s="75">
        <f t="shared" si="20"/>
        <v>-319.00266666666681</v>
      </c>
      <c r="AA33" s="75">
        <f t="shared" si="20"/>
        <v>-363.72266666666684</v>
      </c>
      <c r="AB33" s="75">
        <f t="shared" si="20"/>
        <v>-409.93333333333345</v>
      </c>
      <c r="AC33" s="75">
        <f t="shared" ref="AC33:BC33" si="21">IFERROR(MIN(1,MAX(0,(EOMONTH(AC$4,0)+1-$C33)/(EDATE($C33,$E33)-$C33)))*$F33/12+IF(AND(AC$4&gt;=EOMONTH($C33,0),AC$4&lt;=EOMONTH($C33,11)),$G33/12,0),0)</f>
        <v>-456.14400000000023</v>
      </c>
      <c r="AD33" s="75">
        <f t="shared" si="21"/>
        <v>-497.88266666666686</v>
      </c>
      <c r="AE33" s="75">
        <f t="shared" si="21"/>
        <v>-544.09333333333359</v>
      </c>
      <c r="AF33" s="75">
        <f t="shared" si="21"/>
        <v>-588.8133333333335</v>
      </c>
      <c r="AG33" s="75">
        <f t="shared" si="21"/>
        <v>-635.02400000000023</v>
      </c>
      <c r="AH33" s="75">
        <f t="shared" si="21"/>
        <v>-679.74400000000026</v>
      </c>
      <c r="AI33" s="75">
        <f t="shared" si="21"/>
        <v>-725.95466666666698</v>
      </c>
      <c r="AJ33" s="75">
        <f t="shared" si="21"/>
        <v>-772.16533333333371</v>
      </c>
      <c r="AK33" s="75">
        <f t="shared" si="21"/>
        <v>-816.88533333333362</v>
      </c>
      <c r="AL33" s="75">
        <f t="shared" si="21"/>
        <v>-863.09600000000046</v>
      </c>
      <c r="AM33" s="75">
        <f t="shared" si="21"/>
        <v>-907.81600000000037</v>
      </c>
      <c r="AN33" s="75">
        <f t="shared" si="21"/>
        <v>-954.02666666666698</v>
      </c>
      <c r="AO33" s="75">
        <f t="shared" si="21"/>
        <v>-1000.2373333333338</v>
      </c>
      <c r="AP33" s="75">
        <f t="shared" si="21"/>
        <v>-1041.9760000000003</v>
      </c>
      <c r="AQ33" s="75">
        <f t="shared" si="21"/>
        <v>-1088.1866666666672</v>
      </c>
      <c r="AR33" s="75">
        <f t="shared" si="21"/>
        <v>-1132.906666666667</v>
      </c>
      <c r="AS33" s="75">
        <f t="shared" si="21"/>
        <v>-1179.1173333333338</v>
      </c>
      <c r="AT33" s="75">
        <f t="shared" si="21"/>
        <v>-1223.8373333333338</v>
      </c>
      <c r="AU33" s="75">
        <f t="shared" si="21"/>
        <v>-1270.0480000000005</v>
      </c>
      <c r="AV33" s="75">
        <f t="shared" si="21"/>
        <v>-1316.2586666666673</v>
      </c>
      <c r="AW33" s="75">
        <f t="shared" si="21"/>
        <v>-1360.9786666666673</v>
      </c>
      <c r="AX33" s="75">
        <f t="shared" si="21"/>
        <v>-1407.1893333333337</v>
      </c>
      <c r="AY33" s="75">
        <f t="shared" si="21"/>
        <v>-1451.909333333334</v>
      </c>
      <c r="AZ33" s="75">
        <f t="shared" si="21"/>
        <v>-1498.1200000000006</v>
      </c>
      <c r="BA33" s="75">
        <f t="shared" si="21"/>
        <v>-1544.3306666666674</v>
      </c>
      <c r="BB33" s="75">
        <f t="shared" si="21"/>
        <v>-1586.0693333333338</v>
      </c>
      <c r="BC33" s="75">
        <f t="shared" si="21"/>
        <v>-1632.2800000000007</v>
      </c>
      <c r="BE33" s="75">
        <f t="shared" si="12"/>
        <v>0</v>
      </c>
      <c r="BF33" s="75">
        <f t="shared" si="13"/>
        <v>-3544.8053333333346</v>
      </c>
      <c r="BG33" s="75">
        <f t="shared" si="13"/>
        <v>-10073.925333333336</v>
      </c>
      <c r="BH33" s="75">
        <f t="shared" si="13"/>
        <v>-16603.045333333335</v>
      </c>
    </row>
    <row r="34" spans="2:60" ht="21" customHeight="1" x14ac:dyDescent="0.3">
      <c r="B34" s="60" t="s">
        <v>134</v>
      </c>
      <c r="C34" s="48">
        <f>MIN(C23:C24,C26,C28:C33)</f>
        <v>43922</v>
      </c>
      <c r="D34" s="48">
        <f>'Master Data'!C5</f>
        <v>44651</v>
      </c>
      <c r="E34" s="47">
        <v>1</v>
      </c>
      <c r="F34" s="19">
        <f>Other!C24+Other!D24</f>
        <v>-731.19999999999993</v>
      </c>
      <c r="G34" s="75">
        <f>Other!C13+Other!D13</f>
        <v>0</v>
      </c>
      <c r="H34" s="75">
        <f>IFERROR(MIN(1,MAX(0,(EOMONTH(H$4,0)+1-$C34)/(EDATE($C34,$E34)-$C34)))*$F34/12+IF(AND(H$4&gt;=EOMONTH($C34,0),H$4&lt;=EOMONTH($C34,11)),$G34/12,0),0)</f>
        <v>0</v>
      </c>
      <c r="I34" s="75">
        <f t="shared" ref="I34:BC34" si="22">IFERROR(MIN(1,MAX(0,(EOMONTH(I$4,0)+1-$C34)/(EDATE($C34,$E34)-$C34)))*$F34/12+IF(AND(I$4&gt;=EOMONTH($C34,0),I$4&lt;=EOMONTH($C34,11)),$G34/12,0),0)</f>
        <v>0</v>
      </c>
      <c r="J34" s="75">
        <f t="shared" si="22"/>
        <v>0</v>
      </c>
      <c r="K34" s="75">
        <f t="shared" si="22"/>
        <v>0</v>
      </c>
      <c r="L34" s="75">
        <f t="shared" si="22"/>
        <v>0</v>
      </c>
      <c r="M34" s="75">
        <f t="shared" si="22"/>
        <v>0</v>
      </c>
      <c r="N34" s="75">
        <f t="shared" si="22"/>
        <v>0</v>
      </c>
      <c r="O34" s="75">
        <f t="shared" si="22"/>
        <v>0</v>
      </c>
      <c r="P34" s="75">
        <f t="shared" si="22"/>
        <v>0</v>
      </c>
      <c r="Q34" s="75">
        <f t="shared" si="22"/>
        <v>0</v>
      </c>
      <c r="R34" s="75">
        <f t="shared" si="22"/>
        <v>0</v>
      </c>
      <c r="S34" s="75">
        <f t="shared" si="22"/>
        <v>0</v>
      </c>
      <c r="T34" s="75">
        <f t="shared" si="22"/>
        <v>-60.93333333333333</v>
      </c>
      <c r="U34" s="75">
        <f t="shared" si="22"/>
        <v>-60.93333333333333</v>
      </c>
      <c r="V34" s="75">
        <f t="shared" si="22"/>
        <v>-60.93333333333333</v>
      </c>
      <c r="W34" s="75">
        <f t="shared" si="22"/>
        <v>-60.93333333333333</v>
      </c>
      <c r="X34" s="75">
        <f t="shared" si="22"/>
        <v>-60.93333333333333</v>
      </c>
      <c r="Y34" s="75">
        <f t="shared" si="22"/>
        <v>-60.93333333333333</v>
      </c>
      <c r="Z34" s="75">
        <f t="shared" si="22"/>
        <v>-60.93333333333333</v>
      </c>
      <c r="AA34" s="75">
        <f t="shared" si="22"/>
        <v>-60.93333333333333</v>
      </c>
      <c r="AB34" s="75">
        <f t="shared" si="22"/>
        <v>-60.93333333333333</v>
      </c>
      <c r="AC34" s="75">
        <f t="shared" si="22"/>
        <v>-60.93333333333333</v>
      </c>
      <c r="AD34" s="75">
        <f t="shared" si="22"/>
        <v>-60.93333333333333</v>
      </c>
      <c r="AE34" s="75">
        <f t="shared" si="22"/>
        <v>-60.93333333333333</v>
      </c>
      <c r="AF34" s="75">
        <f t="shared" si="22"/>
        <v>-60.93333333333333</v>
      </c>
      <c r="AG34" s="75">
        <f t="shared" si="22"/>
        <v>-60.93333333333333</v>
      </c>
      <c r="AH34" s="75">
        <f t="shared" si="22"/>
        <v>-60.93333333333333</v>
      </c>
      <c r="AI34" s="75">
        <f t="shared" si="22"/>
        <v>-60.93333333333333</v>
      </c>
      <c r="AJ34" s="75">
        <f t="shared" si="22"/>
        <v>-60.93333333333333</v>
      </c>
      <c r="AK34" s="75">
        <f t="shared" si="22"/>
        <v>-60.93333333333333</v>
      </c>
      <c r="AL34" s="75">
        <f t="shared" si="22"/>
        <v>-60.93333333333333</v>
      </c>
      <c r="AM34" s="75">
        <f t="shared" si="22"/>
        <v>-60.93333333333333</v>
      </c>
      <c r="AN34" s="75">
        <f t="shared" si="22"/>
        <v>-60.93333333333333</v>
      </c>
      <c r="AO34" s="75">
        <f t="shared" si="22"/>
        <v>-60.93333333333333</v>
      </c>
      <c r="AP34" s="75">
        <f t="shared" si="22"/>
        <v>-60.93333333333333</v>
      </c>
      <c r="AQ34" s="75">
        <f t="shared" si="22"/>
        <v>-60.93333333333333</v>
      </c>
      <c r="AR34" s="75">
        <f t="shared" si="22"/>
        <v>-60.93333333333333</v>
      </c>
      <c r="AS34" s="75">
        <f t="shared" si="22"/>
        <v>-60.93333333333333</v>
      </c>
      <c r="AT34" s="75">
        <f t="shared" si="22"/>
        <v>-60.93333333333333</v>
      </c>
      <c r="AU34" s="75">
        <f t="shared" si="22"/>
        <v>-60.93333333333333</v>
      </c>
      <c r="AV34" s="75">
        <f t="shared" si="22"/>
        <v>-60.93333333333333</v>
      </c>
      <c r="AW34" s="75">
        <f t="shared" si="22"/>
        <v>-60.93333333333333</v>
      </c>
      <c r="AX34" s="75">
        <f t="shared" si="22"/>
        <v>-60.93333333333333</v>
      </c>
      <c r="AY34" s="75">
        <f t="shared" si="22"/>
        <v>-60.93333333333333</v>
      </c>
      <c r="AZ34" s="75">
        <f t="shared" si="22"/>
        <v>-60.93333333333333</v>
      </c>
      <c r="BA34" s="75">
        <f t="shared" si="22"/>
        <v>-60.93333333333333</v>
      </c>
      <c r="BB34" s="75">
        <f t="shared" si="22"/>
        <v>-60.93333333333333</v>
      </c>
      <c r="BC34" s="75">
        <f t="shared" si="22"/>
        <v>-60.93333333333333</v>
      </c>
      <c r="BE34" s="75">
        <f t="shared" si="12"/>
        <v>0</v>
      </c>
      <c r="BF34" s="75">
        <f>SUMIF($H$3:$BD$3,BF$3,$H34:$BD34)</f>
        <v>-731.19999999999982</v>
      </c>
      <c r="BG34" s="75">
        <f>SUMIF($H$3:$BD$3,BG$3,$H34:$BD34)</f>
        <v>-731.19999999999982</v>
      </c>
      <c r="BH34" s="75">
        <f>SUMIF($H$3:$BD$3,BH$3,$H34:$BD34)</f>
        <v>-731.19999999999982</v>
      </c>
    </row>
    <row r="35" spans="2:60" ht="21" customHeight="1" x14ac:dyDescent="0.3">
      <c r="C35" s="51"/>
      <c r="D35" s="51"/>
      <c r="E35" s="52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E35" s="61"/>
      <c r="BF35" s="61"/>
      <c r="BG35" s="61"/>
      <c r="BH35" s="61"/>
    </row>
    <row r="36" spans="2:60" ht="21" customHeight="1" x14ac:dyDescent="0.3">
      <c r="B36" s="60" t="s">
        <v>102</v>
      </c>
      <c r="C36" s="51"/>
      <c r="D36" s="51"/>
      <c r="E36" s="52"/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v>0</v>
      </c>
      <c r="AZ36" s="75">
        <v>0</v>
      </c>
      <c r="BA36" s="75">
        <v>0</v>
      </c>
      <c r="BB36" s="75">
        <v>0</v>
      </c>
      <c r="BC36" s="75">
        <v>0</v>
      </c>
      <c r="BE36" s="75">
        <f t="shared" si="12"/>
        <v>0</v>
      </c>
      <c r="BF36" s="75">
        <f t="shared" si="12"/>
        <v>0</v>
      </c>
      <c r="BG36" s="75">
        <f t="shared" si="12"/>
        <v>0</v>
      </c>
      <c r="BH36" s="75">
        <f t="shared" si="12"/>
        <v>0</v>
      </c>
    </row>
    <row r="37" spans="2:60" ht="21" customHeight="1" x14ac:dyDescent="0.3">
      <c r="B37" s="60" t="s">
        <v>20</v>
      </c>
      <c r="C37" s="51"/>
      <c r="D37" s="51"/>
      <c r="E37" s="52"/>
      <c r="H37" s="75">
        <f>SUM(H19:H34)-H38</f>
        <v>0</v>
      </c>
      <c r="I37" s="75">
        <f t="shared" ref="I37:BC37" si="23">SUM(I19:I34)-I38</f>
        <v>0</v>
      </c>
      <c r="J37" s="75">
        <f t="shared" si="23"/>
        <v>0</v>
      </c>
      <c r="K37" s="75">
        <f t="shared" si="23"/>
        <v>0</v>
      </c>
      <c r="L37" s="75">
        <f t="shared" si="23"/>
        <v>0</v>
      </c>
      <c r="M37" s="75">
        <f t="shared" si="23"/>
        <v>0</v>
      </c>
      <c r="N37" s="75">
        <f t="shared" si="23"/>
        <v>0</v>
      </c>
      <c r="O37" s="75">
        <f t="shared" si="23"/>
        <v>0</v>
      </c>
      <c r="P37" s="75">
        <f t="shared" si="23"/>
        <v>0</v>
      </c>
      <c r="Q37" s="75">
        <f t="shared" si="23"/>
        <v>0</v>
      </c>
      <c r="R37" s="75">
        <f t="shared" si="23"/>
        <v>0</v>
      </c>
      <c r="S37" s="75">
        <f t="shared" si="23"/>
        <v>-16856.673913043476</v>
      </c>
      <c r="T37" s="75">
        <f t="shared" si="23"/>
        <v>-18342.18864318795</v>
      </c>
      <c r="U37" s="75">
        <f t="shared" si="23"/>
        <v>-18177.180531003902</v>
      </c>
      <c r="V37" s="75">
        <f t="shared" si="23"/>
        <v>-4782.7670002788082</v>
      </c>
      <c r="W37" s="75">
        <f t="shared" si="23"/>
        <v>-4617.7588880947633</v>
      </c>
      <c r="X37" s="75">
        <f t="shared" si="23"/>
        <v>-4452.7507759107175</v>
      </c>
      <c r="Y37" s="75">
        <f t="shared" si="23"/>
        <v>-4293.0655060551899</v>
      </c>
      <c r="Z37" s="75">
        <f t="shared" si="23"/>
        <v>-4205.9808911389036</v>
      </c>
      <c r="AA37" s="75">
        <f t="shared" si="23"/>
        <v>-4121.7054573489486</v>
      </c>
      <c r="AB37" s="75">
        <f t="shared" si="23"/>
        <v>-2770.5987724174438</v>
      </c>
      <c r="AC37" s="75">
        <f t="shared" si="23"/>
        <v>-2697.4334877903511</v>
      </c>
      <c r="AD37" s="75">
        <f t="shared" si="23"/>
        <v>-2631.3487145787835</v>
      </c>
      <c r="AE37" s="75">
        <f t="shared" si="23"/>
        <v>-2558.1834299516909</v>
      </c>
      <c r="AF37" s="75">
        <f t="shared" si="23"/>
        <v>-2616.3737495863934</v>
      </c>
      <c r="AG37" s="75">
        <f t="shared" si="23"/>
        <v>-2676.5037465422538</v>
      </c>
      <c r="AH37" s="75">
        <f t="shared" si="23"/>
        <v>-2734.6940661769568</v>
      </c>
      <c r="AI37" s="75">
        <f t="shared" si="23"/>
        <v>-2794.8240631328167</v>
      </c>
      <c r="AJ37" s="75">
        <f t="shared" si="23"/>
        <v>-2854.9540600886771</v>
      </c>
      <c r="AK37" s="75">
        <f t="shared" si="23"/>
        <v>-2913.1443797233801</v>
      </c>
      <c r="AL37" s="75">
        <f t="shared" si="23"/>
        <v>-2973.27437667924</v>
      </c>
      <c r="AM37" s="75">
        <f t="shared" si="23"/>
        <v>-3031.4646963139435</v>
      </c>
      <c r="AN37" s="75">
        <f t="shared" si="23"/>
        <v>-3091.5946932698034</v>
      </c>
      <c r="AO37" s="75">
        <f t="shared" si="23"/>
        <v>-3151.7246902256634</v>
      </c>
      <c r="AP37" s="75">
        <f t="shared" si="23"/>
        <v>-3206.0356552180529</v>
      </c>
      <c r="AQ37" s="75">
        <f t="shared" si="23"/>
        <v>-3266.1656521739133</v>
      </c>
      <c r="AR37" s="75">
        <f t="shared" si="23"/>
        <v>-3324.3559718086162</v>
      </c>
      <c r="AS37" s="75">
        <f t="shared" si="23"/>
        <v>-3384.4859687644757</v>
      </c>
      <c r="AT37" s="75">
        <f t="shared" si="23"/>
        <v>-3442.6762883991796</v>
      </c>
      <c r="AU37" s="75">
        <f t="shared" si="23"/>
        <v>-3502.8062853550391</v>
      </c>
      <c r="AV37" s="75">
        <f t="shared" si="23"/>
        <v>-3562.9362823108995</v>
      </c>
      <c r="AW37" s="75">
        <f t="shared" si="23"/>
        <v>-3621.1266019456029</v>
      </c>
      <c r="AX37" s="75">
        <f t="shared" si="23"/>
        <v>-3681.2565989014624</v>
      </c>
      <c r="AY37" s="75">
        <f t="shared" si="23"/>
        <v>-3739.4469185361659</v>
      </c>
      <c r="AZ37" s="75">
        <f t="shared" si="23"/>
        <v>-3799.5769154920254</v>
      </c>
      <c r="BA37" s="75">
        <f t="shared" si="23"/>
        <v>-3859.7069124478858</v>
      </c>
      <c r="BB37" s="75">
        <f t="shared" si="23"/>
        <v>-3914.0178774402752</v>
      </c>
      <c r="BC37" s="75">
        <f t="shared" si="23"/>
        <v>-3974.1478743961352</v>
      </c>
      <c r="BE37" s="75">
        <f t="shared" ref="BE37:BH39" si="24">SUMIF($H$3:$BD$3,BE$3,$H37:$BD37)</f>
        <v>-16856.673913043476</v>
      </c>
      <c r="BF37" s="75">
        <f t="shared" si="24"/>
        <v>-73650.962097757452</v>
      </c>
      <c r="BG37" s="75">
        <f t="shared" si="24"/>
        <v>-35310.753829131092</v>
      </c>
      <c r="BH37" s="75">
        <f t="shared" si="24"/>
        <v>-43806.540495797766</v>
      </c>
    </row>
    <row r="38" spans="2:60" ht="21" customHeight="1" x14ac:dyDescent="0.3">
      <c r="B38" s="60" t="s">
        <v>393</v>
      </c>
      <c r="C38" s="51"/>
      <c r="D38" s="51"/>
      <c r="E38" s="52"/>
      <c r="H38" s="75">
        <f>H21+H22</f>
        <v>0</v>
      </c>
      <c r="I38" s="75">
        <f t="shared" ref="I38:BC38" si="25">I21+I22</f>
        <v>0</v>
      </c>
      <c r="J38" s="75">
        <f t="shared" si="25"/>
        <v>0</v>
      </c>
      <c r="K38" s="75">
        <f t="shared" si="25"/>
        <v>0</v>
      </c>
      <c r="L38" s="75">
        <f t="shared" si="25"/>
        <v>0</v>
      </c>
      <c r="M38" s="75">
        <f t="shared" si="25"/>
        <v>0</v>
      </c>
      <c r="N38" s="75">
        <f t="shared" si="25"/>
        <v>0</v>
      </c>
      <c r="O38" s="75">
        <f t="shared" si="25"/>
        <v>0</v>
      </c>
      <c r="P38" s="75">
        <f t="shared" si="25"/>
        <v>0</v>
      </c>
      <c r="Q38" s="75">
        <f t="shared" si="25"/>
        <v>0</v>
      </c>
      <c r="R38" s="75">
        <f t="shared" si="25"/>
        <v>0</v>
      </c>
      <c r="S38" s="75">
        <f t="shared" si="25"/>
        <v>38150</v>
      </c>
      <c r="T38" s="75">
        <f t="shared" si="25"/>
        <v>1650</v>
      </c>
      <c r="U38" s="75">
        <f t="shared" si="25"/>
        <v>1650</v>
      </c>
      <c r="V38" s="75">
        <f t="shared" si="25"/>
        <v>0</v>
      </c>
      <c r="W38" s="75">
        <f t="shared" si="25"/>
        <v>0</v>
      </c>
      <c r="X38" s="75">
        <f t="shared" si="25"/>
        <v>0</v>
      </c>
      <c r="Y38" s="75">
        <f t="shared" si="25"/>
        <v>0</v>
      </c>
      <c r="Z38" s="75">
        <f t="shared" si="25"/>
        <v>0</v>
      </c>
      <c r="AA38" s="75">
        <f t="shared" si="25"/>
        <v>0</v>
      </c>
      <c r="AB38" s="75">
        <f t="shared" si="25"/>
        <v>0</v>
      </c>
      <c r="AC38" s="75">
        <f t="shared" si="25"/>
        <v>0</v>
      </c>
      <c r="AD38" s="75">
        <f t="shared" si="25"/>
        <v>0</v>
      </c>
      <c r="AE38" s="75">
        <f t="shared" si="25"/>
        <v>0</v>
      </c>
      <c r="AF38" s="75">
        <f t="shared" si="25"/>
        <v>0</v>
      </c>
      <c r="AG38" s="75">
        <f t="shared" si="25"/>
        <v>0</v>
      </c>
      <c r="AH38" s="75">
        <f t="shared" si="25"/>
        <v>0</v>
      </c>
      <c r="AI38" s="75">
        <f t="shared" si="25"/>
        <v>0</v>
      </c>
      <c r="AJ38" s="75">
        <f t="shared" si="25"/>
        <v>0</v>
      </c>
      <c r="AK38" s="75">
        <f t="shared" si="25"/>
        <v>0</v>
      </c>
      <c r="AL38" s="75">
        <f t="shared" si="25"/>
        <v>0</v>
      </c>
      <c r="AM38" s="75">
        <f t="shared" si="25"/>
        <v>0</v>
      </c>
      <c r="AN38" s="75">
        <f t="shared" si="25"/>
        <v>0</v>
      </c>
      <c r="AO38" s="75">
        <f t="shared" si="25"/>
        <v>0</v>
      </c>
      <c r="AP38" s="75">
        <f t="shared" si="25"/>
        <v>0</v>
      </c>
      <c r="AQ38" s="75">
        <f t="shared" si="25"/>
        <v>0</v>
      </c>
      <c r="AR38" s="75">
        <f t="shared" si="25"/>
        <v>0</v>
      </c>
      <c r="AS38" s="75">
        <f t="shared" si="25"/>
        <v>0</v>
      </c>
      <c r="AT38" s="75">
        <f t="shared" si="25"/>
        <v>0</v>
      </c>
      <c r="AU38" s="75">
        <f t="shared" si="25"/>
        <v>0</v>
      </c>
      <c r="AV38" s="75">
        <f t="shared" si="25"/>
        <v>0</v>
      </c>
      <c r="AW38" s="75">
        <f t="shared" si="25"/>
        <v>0</v>
      </c>
      <c r="AX38" s="75">
        <f t="shared" si="25"/>
        <v>0</v>
      </c>
      <c r="AY38" s="75">
        <f t="shared" si="25"/>
        <v>0</v>
      </c>
      <c r="AZ38" s="75">
        <f t="shared" si="25"/>
        <v>0</v>
      </c>
      <c r="BA38" s="75">
        <f t="shared" si="25"/>
        <v>0</v>
      </c>
      <c r="BB38" s="75">
        <f t="shared" si="25"/>
        <v>0</v>
      </c>
      <c r="BC38" s="75">
        <f t="shared" si="25"/>
        <v>0</v>
      </c>
      <c r="BE38" s="75">
        <f t="shared" si="24"/>
        <v>38150</v>
      </c>
      <c r="BF38" s="75">
        <f t="shared" si="24"/>
        <v>3300</v>
      </c>
      <c r="BG38" s="75">
        <f t="shared" si="24"/>
        <v>0</v>
      </c>
      <c r="BH38" s="75">
        <f t="shared" si="24"/>
        <v>0</v>
      </c>
    </row>
    <row r="39" spans="2:60" ht="21" customHeight="1" x14ac:dyDescent="0.3">
      <c r="B39" s="60" t="s">
        <v>71</v>
      </c>
      <c r="C39" s="51"/>
      <c r="D39" s="51"/>
      <c r="E39" s="52"/>
      <c r="H39" s="75">
        <f t="shared" ref="H39:BB39" si="26">SUM(H36:H38)</f>
        <v>0</v>
      </c>
      <c r="I39" s="75">
        <f t="shared" si="26"/>
        <v>0</v>
      </c>
      <c r="J39" s="75">
        <f t="shared" si="26"/>
        <v>0</v>
      </c>
      <c r="K39" s="75">
        <f t="shared" si="26"/>
        <v>0</v>
      </c>
      <c r="L39" s="75">
        <f t="shared" si="26"/>
        <v>0</v>
      </c>
      <c r="M39" s="75">
        <f t="shared" si="26"/>
        <v>0</v>
      </c>
      <c r="N39" s="75">
        <f t="shared" si="26"/>
        <v>0</v>
      </c>
      <c r="O39" s="75">
        <f t="shared" si="26"/>
        <v>0</v>
      </c>
      <c r="P39" s="75">
        <f t="shared" si="26"/>
        <v>0</v>
      </c>
      <c r="Q39" s="75">
        <f t="shared" si="26"/>
        <v>0</v>
      </c>
      <c r="R39" s="75">
        <f t="shared" si="26"/>
        <v>0</v>
      </c>
      <c r="S39" s="75">
        <f t="shared" si="26"/>
        <v>21293.326086956524</v>
      </c>
      <c r="T39" s="75">
        <f t="shared" si="26"/>
        <v>-16692.18864318795</v>
      </c>
      <c r="U39" s="75">
        <f t="shared" si="26"/>
        <v>-16527.180531003902</v>
      </c>
      <c r="V39" s="75">
        <f t="shared" si="26"/>
        <v>-4782.7670002788082</v>
      </c>
      <c r="W39" s="75">
        <f t="shared" si="26"/>
        <v>-4617.7588880947633</v>
      </c>
      <c r="X39" s="75">
        <f t="shared" si="26"/>
        <v>-4452.7507759107175</v>
      </c>
      <c r="Y39" s="75">
        <f t="shared" si="26"/>
        <v>-4293.0655060551899</v>
      </c>
      <c r="Z39" s="75">
        <f t="shared" si="26"/>
        <v>-4205.9808911389036</v>
      </c>
      <c r="AA39" s="75">
        <f t="shared" si="26"/>
        <v>-4121.7054573489486</v>
      </c>
      <c r="AB39" s="75">
        <f t="shared" si="26"/>
        <v>-2770.5987724174438</v>
      </c>
      <c r="AC39" s="75">
        <f t="shared" si="26"/>
        <v>-2697.4334877903511</v>
      </c>
      <c r="AD39" s="75">
        <f t="shared" si="26"/>
        <v>-2631.3487145787835</v>
      </c>
      <c r="AE39" s="75">
        <f t="shared" si="26"/>
        <v>-2558.1834299516909</v>
      </c>
      <c r="AF39" s="75">
        <f t="shared" si="26"/>
        <v>-2616.3737495863934</v>
      </c>
      <c r="AG39" s="75">
        <f t="shared" si="26"/>
        <v>-2676.5037465422538</v>
      </c>
      <c r="AH39" s="75">
        <f t="shared" si="26"/>
        <v>-2734.6940661769568</v>
      </c>
      <c r="AI39" s="75">
        <f t="shared" si="26"/>
        <v>-2794.8240631328167</v>
      </c>
      <c r="AJ39" s="75">
        <f t="shared" si="26"/>
        <v>-2854.9540600886771</v>
      </c>
      <c r="AK39" s="75">
        <f t="shared" si="26"/>
        <v>-2913.1443797233801</v>
      </c>
      <c r="AL39" s="75">
        <f t="shared" si="26"/>
        <v>-2973.27437667924</v>
      </c>
      <c r="AM39" s="75">
        <f t="shared" si="26"/>
        <v>-3031.4646963139435</v>
      </c>
      <c r="AN39" s="75">
        <f t="shared" si="26"/>
        <v>-3091.5946932698034</v>
      </c>
      <c r="AO39" s="75">
        <f t="shared" si="26"/>
        <v>-3151.7246902256634</v>
      </c>
      <c r="AP39" s="75">
        <f t="shared" si="26"/>
        <v>-3206.0356552180529</v>
      </c>
      <c r="AQ39" s="75">
        <f t="shared" si="26"/>
        <v>-3266.1656521739133</v>
      </c>
      <c r="AR39" s="75">
        <f t="shared" si="26"/>
        <v>-3324.3559718086162</v>
      </c>
      <c r="AS39" s="75">
        <f t="shared" si="26"/>
        <v>-3384.4859687644757</v>
      </c>
      <c r="AT39" s="75">
        <f t="shared" si="26"/>
        <v>-3442.6762883991796</v>
      </c>
      <c r="AU39" s="75">
        <f t="shared" si="26"/>
        <v>-3502.8062853550391</v>
      </c>
      <c r="AV39" s="75">
        <f t="shared" si="26"/>
        <v>-3562.9362823108995</v>
      </c>
      <c r="AW39" s="75">
        <f t="shared" si="26"/>
        <v>-3621.1266019456029</v>
      </c>
      <c r="AX39" s="75">
        <f t="shared" si="26"/>
        <v>-3681.2565989014624</v>
      </c>
      <c r="AY39" s="75">
        <f t="shared" si="26"/>
        <v>-3739.4469185361659</v>
      </c>
      <c r="AZ39" s="75">
        <f t="shared" si="26"/>
        <v>-3799.5769154920254</v>
      </c>
      <c r="BA39" s="75">
        <f t="shared" si="26"/>
        <v>-3859.7069124478858</v>
      </c>
      <c r="BB39" s="75">
        <f t="shared" si="26"/>
        <v>-3914.0178774402752</v>
      </c>
      <c r="BC39" s="75">
        <f>SUM(BC36:BC38)</f>
        <v>-3974.1478743961352</v>
      </c>
      <c r="BE39" s="75">
        <f t="shared" si="24"/>
        <v>21293.326086956524</v>
      </c>
      <c r="BF39" s="75">
        <f t="shared" si="24"/>
        <v>-70350.962097757452</v>
      </c>
      <c r="BG39" s="75">
        <f t="shared" si="24"/>
        <v>-35310.753829131092</v>
      </c>
      <c r="BH39" s="75">
        <f t="shared" si="24"/>
        <v>-43806.540495797766</v>
      </c>
    </row>
    <row r="40" spans="2:60" ht="21" customHeight="1" x14ac:dyDescent="0.3">
      <c r="B40" s="62"/>
      <c r="C40" s="62"/>
      <c r="D40" s="62"/>
      <c r="E40" s="62"/>
    </row>
    <row r="41" spans="2:60" ht="21" customHeight="1" x14ac:dyDescent="0.3">
      <c r="B41" s="58" t="s">
        <v>36</v>
      </c>
      <c r="C41" s="53" t="s">
        <v>37</v>
      </c>
      <c r="D41" s="53" t="s">
        <v>115</v>
      </c>
      <c r="E41" s="53" t="s">
        <v>38</v>
      </c>
      <c r="F41" s="53" t="s">
        <v>39</v>
      </c>
      <c r="G41" s="53" t="s">
        <v>47</v>
      </c>
      <c r="H41" s="59">
        <f>H$4</f>
        <v>43585</v>
      </c>
      <c r="I41" s="59">
        <f t="shared" ref="I41:BC41" si="27">I$4</f>
        <v>43616</v>
      </c>
      <c r="J41" s="59">
        <f t="shared" si="27"/>
        <v>43646</v>
      </c>
      <c r="K41" s="59">
        <f t="shared" si="27"/>
        <v>43677</v>
      </c>
      <c r="L41" s="59">
        <f t="shared" si="27"/>
        <v>43708</v>
      </c>
      <c r="M41" s="59">
        <f t="shared" si="27"/>
        <v>43738</v>
      </c>
      <c r="N41" s="59">
        <f t="shared" si="27"/>
        <v>43769</v>
      </c>
      <c r="O41" s="59">
        <f t="shared" si="27"/>
        <v>43799</v>
      </c>
      <c r="P41" s="59">
        <f t="shared" si="27"/>
        <v>43830</v>
      </c>
      <c r="Q41" s="59">
        <f t="shared" si="27"/>
        <v>43861</v>
      </c>
      <c r="R41" s="59">
        <f t="shared" si="27"/>
        <v>43890</v>
      </c>
      <c r="S41" s="59">
        <f t="shared" si="27"/>
        <v>43921</v>
      </c>
      <c r="T41" s="59">
        <f t="shared" si="27"/>
        <v>43951</v>
      </c>
      <c r="U41" s="59">
        <f t="shared" si="27"/>
        <v>43982</v>
      </c>
      <c r="V41" s="59">
        <f t="shared" si="27"/>
        <v>44012</v>
      </c>
      <c r="W41" s="59">
        <f t="shared" si="27"/>
        <v>44043</v>
      </c>
      <c r="X41" s="59">
        <f t="shared" si="27"/>
        <v>44074</v>
      </c>
      <c r="Y41" s="59">
        <f t="shared" si="27"/>
        <v>44104</v>
      </c>
      <c r="Z41" s="59">
        <f t="shared" si="27"/>
        <v>44135</v>
      </c>
      <c r="AA41" s="59">
        <f t="shared" si="27"/>
        <v>44165</v>
      </c>
      <c r="AB41" s="59">
        <f t="shared" si="27"/>
        <v>44196</v>
      </c>
      <c r="AC41" s="59">
        <f t="shared" si="27"/>
        <v>44227</v>
      </c>
      <c r="AD41" s="59">
        <f t="shared" si="27"/>
        <v>44255</v>
      </c>
      <c r="AE41" s="59">
        <f t="shared" si="27"/>
        <v>44286</v>
      </c>
      <c r="AF41" s="59">
        <f t="shared" si="27"/>
        <v>44316</v>
      </c>
      <c r="AG41" s="59">
        <f t="shared" si="27"/>
        <v>44347</v>
      </c>
      <c r="AH41" s="59">
        <f t="shared" si="27"/>
        <v>44377</v>
      </c>
      <c r="AI41" s="59">
        <f t="shared" si="27"/>
        <v>44408</v>
      </c>
      <c r="AJ41" s="59">
        <f t="shared" si="27"/>
        <v>44439</v>
      </c>
      <c r="AK41" s="59">
        <f t="shared" si="27"/>
        <v>44469</v>
      </c>
      <c r="AL41" s="59">
        <f t="shared" si="27"/>
        <v>44500</v>
      </c>
      <c r="AM41" s="59">
        <f t="shared" si="27"/>
        <v>44530</v>
      </c>
      <c r="AN41" s="59">
        <f t="shared" si="27"/>
        <v>44561</v>
      </c>
      <c r="AO41" s="59">
        <f t="shared" si="27"/>
        <v>44592</v>
      </c>
      <c r="AP41" s="59">
        <f t="shared" si="27"/>
        <v>44620</v>
      </c>
      <c r="AQ41" s="59">
        <f t="shared" si="27"/>
        <v>44651</v>
      </c>
      <c r="AR41" s="59">
        <f t="shared" si="27"/>
        <v>44681</v>
      </c>
      <c r="AS41" s="59">
        <f t="shared" si="27"/>
        <v>44712</v>
      </c>
      <c r="AT41" s="59">
        <f t="shared" si="27"/>
        <v>44742</v>
      </c>
      <c r="AU41" s="59">
        <f t="shared" si="27"/>
        <v>44773</v>
      </c>
      <c r="AV41" s="59">
        <f t="shared" si="27"/>
        <v>44804</v>
      </c>
      <c r="AW41" s="59">
        <f t="shared" si="27"/>
        <v>44834</v>
      </c>
      <c r="AX41" s="59">
        <f t="shared" si="27"/>
        <v>44865</v>
      </c>
      <c r="AY41" s="59">
        <f t="shared" si="27"/>
        <v>44895</v>
      </c>
      <c r="AZ41" s="59">
        <f t="shared" si="27"/>
        <v>44926</v>
      </c>
      <c r="BA41" s="59">
        <f t="shared" si="27"/>
        <v>44957</v>
      </c>
      <c r="BB41" s="59">
        <f t="shared" si="27"/>
        <v>44985</v>
      </c>
      <c r="BC41" s="59">
        <f t="shared" si="27"/>
        <v>45016</v>
      </c>
      <c r="BE41" s="71">
        <f>BE$3</f>
        <v>1</v>
      </c>
      <c r="BF41" s="71">
        <f>BF$3</f>
        <v>2</v>
      </c>
      <c r="BG41" s="71">
        <f>BG$3</f>
        <v>3</v>
      </c>
      <c r="BH41" s="71">
        <f>BH$3</f>
        <v>4</v>
      </c>
    </row>
    <row r="42" spans="2:60" ht="21" customHeight="1" x14ac:dyDescent="0.3">
      <c r="B42" s="60" t="str">
        <f>$B$19</f>
        <v>Covid-19 Disruption - first period</v>
      </c>
      <c r="C42" s="48">
        <f>IF(C$19="","",C$19)</f>
        <v>43891</v>
      </c>
      <c r="D42" s="48">
        <f>IF(D$19="","",D$19)</f>
        <v>43982</v>
      </c>
      <c r="E42" s="47">
        <f>IF(E$19="","",E$19)</f>
        <v>1</v>
      </c>
      <c r="F42" s="75"/>
      <c r="G42" s="75"/>
      <c r="H42" s="161">
        <f t="shared" ref="H42:W42" si="28">IFERROR(MIN(1,MAX(0,(EOMONTH(H$4,0)+1-$C42)/(EDATE($C42,$E42)-$C42)))*$F42/12+IF(H$3=1,$G42/12,0),0)</f>
        <v>0</v>
      </c>
      <c r="I42" s="161">
        <f t="shared" si="28"/>
        <v>0</v>
      </c>
      <c r="J42" s="161">
        <f t="shared" si="28"/>
        <v>0</v>
      </c>
      <c r="K42" s="161">
        <f t="shared" si="28"/>
        <v>0</v>
      </c>
      <c r="L42" s="161">
        <f t="shared" si="28"/>
        <v>0</v>
      </c>
      <c r="M42" s="161">
        <f t="shared" si="28"/>
        <v>0</v>
      </c>
      <c r="N42" s="161">
        <f t="shared" si="28"/>
        <v>0</v>
      </c>
      <c r="O42" s="161">
        <f t="shared" si="28"/>
        <v>0</v>
      </c>
      <c r="P42" s="161">
        <f t="shared" si="28"/>
        <v>0</v>
      </c>
      <c r="Q42" s="161">
        <f t="shared" si="28"/>
        <v>0</v>
      </c>
      <c r="R42" s="161">
        <f t="shared" si="28"/>
        <v>0</v>
      </c>
      <c r="S42" s="161">
        <f t="shared" si="28"/>
        <v>0</v>
      </c>
      <c r="T42" s="161">
        <f t="shared" si="28"/>
        <v>0</v>
      </c>
      <c r="U42" s="161">
        <f t="shared" si="28"/>
        <v>0</v>
      </c>
      <c r="V42" s="161">
        <f t="shared" si="28"/>
        <v>0</v>
      </c>
      <c r="W42" s="161">
        <f t="shared" si="28"/>
        <v>0</v>
      </c>
      <c r="X42" s="161">
        <f t="shared" ref="X42:BC42" si="29">IFERROR(MIN(1,MAX(0,(EOMONTH(X$4,0)+1-$C42)/(EDATE($C42,$E42)-$C42)))*$F42/12+IF(X$3=1,$G42/12,0),0)</f>
        <v>0</v>
      </c>
      <c r="Y42" s="161">
        <f t="shared" si="29"/>
        <v>0</v>
      </c>
      <c r="Z42" s="161">
        <f t="shared" si="29"/>
        <v>0</v>
      </c>
      <c r="AA42" s="161">
        <f t="shared" si="29"/>
        <v>0</v>
      </c>
      <c r="AB42" s="161">
        <f t="shared" si="29"/>
        <v>0</v>
      </c>
      <c r="AC42" s="161">
        <f t="shared" si="29"/>
        <v>0</v>
      </c>
      <c r="AD42" s="161">
        <f t="shared" si="29"/>
        <v>0</v>
      </c>
      <c r="AE42" s="161">
        <f t="shared" si="29"/>
        <v>0</v>
      </c>
      <c r="AF42" s="161">
        <f t="shared" si="29"/>
        <v>0</v>
      </c>
      <c r="AG42" s="161">
        <f t="shared" si="29"/>
        <v>0</v>
      </c>
      <c r="AH42" s="161">
        <f t="shared" si="29"/>
        <v>0</v>
      </c>
      <c r="AI42" s="161">
        <f t="shared" si="29"/>
        <v>0</v>
      </c>
      <c r="AJ42" s="161">
        <f t="shared" si="29"/>
        <v>0</v>
      </c>
      <c r="AK42" s="161">
        <f t="shared" si="29"/>
        <v>0</v>
      </c>
      <c r="AL42" s="161">
        <f t="shared" si="29"/>
        <v>0</v>
      </c>
      <c r="AM42" s="161">
        <f t="shared" si="29"/>
        <v>0</v>
      </c>
      <c r="AN42" s="161">
        <f t="shared" si="29"/>
        <v>0</v>
      </c>
      <c r="AO42" s="161">
        <f t="shared" si="29"/>
        <v>0</v>
      </c>
      <c r="AP42" s="161">
        <f t="shared" si="29"/>
        <v>0</v>
      </c>
      <c r="AQ42" s="161">
        <f t="shared" si="29"/>
        <v>0</v>
      </c>
      <c r="AR42" s="161">
        <f t="shared" si="29"/>
        <v>0</v>
      </c>
      <c r="AS42" s="161">
        <f t="shared" si="29"/>
        <v>0</v>
      </c>
      <c r="AT42" s="161">
        <f t="shared" si="29"/>
        <v>0</v>
      </c>
      <c r="AU42" s="161">
        <f t="shared" si="29"/>
        <v>0</v>
      </c>
      <c r="AV42" s="161">
        <f t="shared" si="29"/>
        <v>0</v>
      </c>
      <c r="AW42" s="161">
        <f t="shared" si="29"/>
        <v>0</v>
      </c>
      <c r="AX42" s="161">
        <f t="shared" si="29"/>
        <v>0</v>
      </c>
      <c r="AY42" s="161">
        <f t="shared" si="29"/>
        <v>0</v>
      </c>
      <c r="AZ42" s="161">
        <f t="shared" si="29"/>
        <v>0</v>
      </c>
      <c r="BA42" s="161">
        <f t="shared" si="29"/>
        <v>0</v>
      </c>
      <c r="BB42" s="161">
        <f t="shared" si="29"/>
        <v>0</v>
      </c>
      <c r="BC42" s="161">
        <f t="shared" si="29"/>
        <v>0</v>
      </c>
      <c r="BE42" s="75">
        <f t="shared" ref="BE42:BE57" si="30">SUMIF($H$3:$BD$3,BE$3,$H42:$BD42)</f>
        <v>0</v>
      </c>
      <c r="BF42" s="75">
        <f t="shared" ref="BF42:BH56" si="31">SUMIF($H$3:$BD$3,BF$3,$H42:$BD42)</f>
        <v>0</v>
      </c>
      <c r="BG42" s="75">
        <f t="shared" si="31"/>
        <v>0</v>
      </c>
      <c r="BH42" s="75">
        <f t="shared" si="31"/>
        <v>0</v>
      </c>
    </row>
    <row r="43" spans="2:60" ht="21" customHeight="1" x14ac:dyDescent="0.3">
      <c r="B43" s="60" t="str">
        <f>$B$20</f>
        <v>Covid-19 Disruption - second period</v>
      </c>
      <c r="C43" s="48">
        <f>IF(C$20="","",C$20)</f>
        <v>43983</v>
      </c>
      <c r="D43" s="48">
        <f>IF(D$20="","",D$20)</f>
        <v>44165</v>
      </c>
      <c r="E43" s="47">
        <f>IF(E$20="","",E$20)</f>
        <v>1</v>
      </c>
      <c r="F43" s="75"/>
      <c r="G43" s="75"/>
      <c r="H43" s="161">
        <f t="shared" ref="H43:BC43" si="32">IF(OR(H$4=EOMONTH($C43,11),H$4=EOMONTH($C43,23),H$4=EOMONTH($C43,35)),$F43,0)</f>
        <v>0</v>
      </c>
      <c r="I43" s="161">
        <f t="shared" si="32"/>
        <v>0</v>
      </c>
      <c r="J43" s="161">
        <f t="shared" si="32"/>
        <v>0</v>
      </c>
      <c r="K43" s="161">
        <f t="shared" si="32"/>
        <v>0</v>
      </c>
      <c r="L43" s="161">
        <f t="shared" si="32"/>
        <v>0</v>
      </c>
      <c r="M43" s="161">
        <f t="shared" si="32"/>
        <v>0</v>
      </c>
      <c r="N43" s="161">
        <f t="shared" si="32"/>
        <v>0</v>
      </c>
      <c r="O43" s="161">
        <f t="shared" si="32"/>
        <v>0</v>
      </c>
      <c r="P43" s="161">
        <f t="shared" si="32"/>
        <v>0</v>
      </c>
      <c r="Q43" s="161">
        <f t="shared" si="32"/>
        <v>0</v>
      </c>
      <c r="R43" s="161">
        <f t="shared" si="32"/>
        <v>0</v>
      </c>
      <c r="S43" s="161">
        <f t="shared" si="32"/>
        <v>0</v>
      </c>
      <c r="T43" s="161">
        <f t="shared" si="32"/>
        <v>0</v>
      </c>
      <c r="U43" s="161">
        <f t="shared" si="32"/>
        <v>0</v>
      </c>
      <c r="V43" s="161">
        <f t="shared" si="32"/>
        <v>0</v>
      </c>
      <c r="W43" s="161">
        <f t="shared" si="32"/>
        <v>0</v>
      </c>
      <c r="X43" s="161">
        <f t="shared" si="32"/>
        <v>0</v>
      </c>
      <c r="Y43" s="161">
        <f t="shared" si="32"/>
        <v>0</v>
      </c>
      <c r="Z43" s="161">
        <f t="shared" si="32"/>
        <v>0</v>
      </c>
      <c r="AA43" s="161">
        <f t="shared" si="32"/>
        <v>0</v>
      </c>
      <c r="AB43" s="161">
        <f t="shared" si="32"/>
        <v>0</v>
      </c>
      <c r="AC43" s="161">
        <f t="shared" si="32"/>
        <v>0</v>
      </c>
      <c r="AD43" s="161">
        <f t="shared" si="32"/>
        <v>0</v>
      </c>
      <c r="AE43" s="161">
        <f t="shared" si="32"/>
        <v>0</v>
      </c>
      <c r="AF43" s="161">
        <f t="shared" si="32"/>
        <v>0</v>
      </c>
      <c r="AG43" s="161">
        <f t="shared" si="32"/>
        <v>0</v>
      </c>
      <c r="AH43" s="161">
        <f t="shared" si="32"/>
        <v>0</v>
      </c>
      <c r="AI43" s="161">
        <f t="shared" si="32"/>
        <v>0</v>
      </c>
      <c r="AJ43" s="161">
        <f t="shared" si="32"/>
        <v>0</v>
      </c>
      <c r="AK43" s="161">
        <f t="shared" si="32"/>
        <v>0</v>
      </c>
      <c r="AL43" s="161">
        <f t="shared" si="32"/>
        <v>0</v>
      </c>
      <c r="AM43" s="161">
        <f t="shared" si="32"/>
        <v>0</v>
      </c>
      <c r="AN43" s="161">
        <f t="shared" si="32"/>
        <v>0</v>
      </c>
      <c r="AO43" s="161">
        <f t="shared" si="32"/>
        <v>0</v>
      </c>
      <c r="AP43" s="161">
        <f t="shared" si="32"/>
        <v>0</v>
      </c>
      <c r="AQ43" s="161">
        <f t="shared" si="32"/>
        <v>0</v>
      </c>
      <c r="AR43" s="161">
        <f t="shared" si="32"/>
        <v>0</v>
      </c>
      <c r="AS43" s="161">
        <f t="shared" si="32"/>
        <v>0</v>
      </c>
      <c r="AT43" s="161">
        <f t="shared" si="32"/>
        <v>0</v>
      </c>
      <c r="AU43" s="161">
        <f t="shared" si="32"/>
        <v>0</v>
      </c>
      <c r="AV43" s="161">
        <f t="shared" si="32"/>
        <v>0</v>
      </c>
      <c r="AW43" s="161">
        <f t="shared" si="32"/>
        <v>0</v>
      </c>
      <c r="AX43" s="161">
        <f t="shared" si="32"/>
        <v>0</v>
      </c>
      <c r="AY43" s="161">
        <f t="shared" si="32"/>
        <v>0</v>
      </c>
      <c r="AZ43" s="161">
        <f t="shared" si="32"/>
        <v>0</v>
      </c>
      <c r="BA43" s="161">
        <f t="shared" si="32"/>
        <v>0</v>
      </c>
      <c r="BB43" s="161">
        <f t="shared" si="32"/>
        <v>0</v>
      </c>
      <c r="BC43" s="161">
        <f t="shared" si="32"/>
        <v>0</v>
      </c>
      <c r="BE43" s="75">
        <f t="shared" si="30"/>
        <v>0</v>
      </c>
      <c r="BF43" s="75">
        <f t="shared" si="31"/>
        <v>0</v>
      </c>
      <c r="BG43" s="75">
        <f t="shared" si="31"/>
        <v>0</v>
      </c>
      <c r="BH43" s="75">
        <f t="shared" si="31"/>
        <v>0</v>
      </c>
    </row>
    <row r="44" spans="2:60" ht="21" customHeight="1" x14ac:dyDescent="0.3">
      <c r="B44" s="160" t="s">
        <v>394</v>
      </c>
      <c r="C44" s="48"/>
      <c r="D44" s="48"/>
      <c r="E44" s="47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E44" s="75">
        <f t="shared" si="30"/>
        <v>0</v>
      </c>
      <c r="BF44" s="75">
        <f t="shared" si="31"/>
        <v>0</v>
      </c>
      <c r="BG44" s="75">
        <f t="shared" si="31"/>
        <v>0</v>
      </c>
      <c r="BH44" s="75">
        <f t="shared" si="31"/>
        <v>0</v>
      </c>
    </row>
    <row r="45" spans="2:60" ht="21" customHeight="1" x14ac:dyDescent="0.3">
      <c r="B45" s="160" t="str">
        <f>$B$22</f>
        <v>Covid-19 Wage subsidy</v>
      </c>
      <c r="C45" s="48">
        <f>C42</f>
        <v>43891</v>
      </c>
      <c r="D45" s="48">
        <f>EOMONTH(C45,3)</f>
        <v>44012</v>
      </c>
      <c r="E45" s="47">
        <v>1</v>
      </c>
      <c r="F45" s="75"/>
      <c r="G45" s="75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E45" s="75">
        <f t="shared" si="30"/>
        <v>0</v>
      </c>
      <c r="BF45" s="75">
        <f t="shared" si="31"/>
        <v>0</v>
      </c>
      <c r="BG45" s="75">
        <f t="shared" si="31"/>
        <v>0</v>
      </c>
      <c r="BH45" s="75">
        <f t="shared" si="31"/>
        <v>0</v>
      </c>
    </row>
    <row r="46" spans="2:60" ht="21" customHeight="1" x14ac:dyDescent="0.3">
      <c r="B46" s="60" t="str">
        <f>$B$23</f>
        <v>Call Management</v>
      </c>
      <c r="C46" s="48">
        <f>IF(C$23="","",C$23)</f>
        <v>43922</v>
      </c>
      <c r="D46" s="48" t="str">
        <f>IF(D$23="","",D$23)</f>
        <v/>
      </c>
      <c r="E46" s="47">
        <f>E23</f>
        <v>1</v>
      </c>
      <c r="F46" s="75">
        <f>'Call Management'!C25</f>
        <v>0</v>
      </c>
      <c r="G46" s="75">
        <f>'Call Management'!C17</f>
        <v>2000</v>
      </c>
      <c r="H46" s="75">
        <f>IFERROR(MIN(1,MAX(0,(EOMONTH(H$4,0)+1-$C46)/(EDATE($C46,$E46)-$C46)))*$F46/12+IF(AND(H$4&gt;=EOMONTH($C46,0),H$4&lt;=EOMONTH($C46,11)),$G46/12,0),0)</f>
        <v>0</v>
      </c>
      <c r="I46" s="75">
        <f t="shared" ref="I46:BC52" si="33">IFERROR(MIN(1,MAX(0,(EOMONTH(I$4,0)+1-$C46)/(EDATE($C46,$E46)-$C46)))*$F46/12+IF(AND(I$4&gt;=EOMONTH($C46,0),I$4&lt;=EOMONTH($C46,11)),$G46/12,0),0)</f>
        <v>0</v>
      </c>
      <c r="J46" s="75">
        <f t="shared" si="33"/>
        <v>0</v>
      </c>
      <c r="K46" s="75">
        <f t="shared" si="33"/>
        <v>0</v>
      </c>
      <c r="L46" s="75">
        <f t="shared" si="33"/>
        <v>0</v>
      </c>
      <c r="M46" s="75">
        <f t="shared" si="33"/>
        <v>0</v>
      </c>
      <c r="N46" s="75">
        <f t="shared" si="33"/>
        <v>0</v>
      </c>
      <c r="O46" s="75">
        <f t="shared" si="33"/>
        <v>0</v>
      </c>
      <c r="P46" s="75">
        <f t="shared" si="33"/>
        <v>0</v>
      </c>
      <c r="Q46" s="75">
        <f t="shared" si="33"/>
        <v>0</v>
      </c>
      <c r="R46" s="75">
        <f t="shared" si="33"/>
        <v>0</v>
      </c>
      <c r="S46" s="75">
        <f t="shared" si="33"/>
        <v>0</v>
      </c>
      <c r="T46" s="75">
        <f t="shared" si="33"/>
        <v>166.66666666666666</v>
      </c>
      <c r="U46" s="75">
        <f t="shared" si="33"/>
        <v>166.66666666666666</v>
      </c>
      <c r="V46" s="75">
        <f t="shared" si="33"/>
        <v>166.66666666666666</v>
      </c>
      <c r="W46" s="75">
        <f t="shared" si="33"/>
        <v>166.66666666666666</v>
      </c>
      <c r="X46" s="75">
        <f t="shared" si="33"/>
        <v>166.66666666666666</v>
      </c>
      <c r="Y46" s="75">
        <f t="shared" si="33"/>
        <v>166.66666666666666</v>
      </c>
      <c r="Z46" s="75">
        <f t="shared" si="33"/>
        <v>166.66666666666666</v>
      </c>
      <c r="AA46" s="75">
        <f t="shared" si="33"/>
        <v>166.66666666666666</v>
      </c>
      <c r="AB46" s="75">
        <f t="shared" si="33"/>
        <v>166.66666666666666</v>
      </c>
      <c r="AC46" s="75">
        <f t="shared" si="33"/>
        <v>166.66666666666666</v>
      </c>
      <c r="AD46" s="75">
        <f t="shared" si="33"/>
        <v>166.66666666666666</v>
      </c>
      <c r="AE46" s="75">
        <f t="shared" si="33"/>
        <v>166.66666666666666</v>
      </c>
      <c r="AF46" s="75">
        <f t="shared" si="33"/>
        <v>0</v>
      </c>
      <c r="AG46" s="75">
        <f t="shared" si="33"/>
        <v>0</v>
      </c>
      <c r="AH46" s="75">
        <f t="shared" si="33"/>
        <v>0</v>
      </c>
      <c r="AI46" s="75">
        <f t="shared" si="33"/>
        <v>0</v>
      </c>
      <c r="AJ46" s="75">
        <f t="shared" si="33"/>
        <v>0</v>
      </c>
      <c r="AK46" s="75">
        <f t="shared" si="33"/>
        <v>0</v>
      </c>
      <c r="AL46" s="75">
        <f t="shared" si="33"/>
        <v>0</v>
      </c>
      <c r="AM46" s="75">
        <f t="shared" si="33"/>
        <v>0</v>
      </c>
      <c r="AN46" s="75">
        <f t="shared" si="33"/>
        <v>0</v>
      </c>
      <c r="AO46" s="75">
        <f t="shared" si="33"/>
        <v>0</v>
      </c>
      <c r="AP46" s="75">
        <f t="shared" si="33"/>
        <v>0</v>
      </c>
      <c r="AQ46" s="75">
        <f t="shared" si="33"/>
        <v>0</v>
      </c>
      <c r="AR46" s="75">
        <f t="shared" si="33"/>
        <v>0</v>
      </c>
      <c r="AS46" s="75">
        <f t="shared" si="33"/>
        <v>0</v>
      </c>
      <c r="AT46" s="75">
        <f t="shared" si="33"/>
        <v>0</v>
      </c>
      <c r="AU46" s="75">
        <f t="shared" si="33"/>
        <v>0</v>
      </c>
      <c r="AV46" s="75">
        <f t="shared" si="33"/>
        <v>0</v>
      </c>
      <c r="AW46" s="75">
        <f t="shared" si="33"/>
        <v>0</v>
      </c>
      <c r="AX46" s="75">
        <f t="shared" si="33"/>
        <v>0</v>
      </c>
      <c r="AY46" s="75">
        <f t="shared" si="33"/>
        <v>0</v>
      </c>
      <c r="AZ46" s="75">
        <f t="shared" si="33"/>
        <v>0</v>
      </c>
      <c r="BA46" s="75">
        <f t="shared" si="33"/>
        <v>0</v>
      </c>
      <c r="BB46" s="75">
        <f t="shared" si="33"/>
        <v>0</v>
      </c>
      <c r="BC46" s="75">
        <f t="shared" si="33"/>
        <v>0</v>
      </c>
      <c r="BD46" s="61"/>
      <c r="BE46" s="75">
        <f t="shared" si="30"/>
        <v>0</v>
      </c>
      <c r="BF46" s="75">
        <f t="shared" si="31"/>
        <v>2000.0000000000002</v>
      </c>
      <c r="BG46" s="75">
        <f t="shared" si="31"/>
        <v>0</v>
      </c>
      <c r="BH46" s="75">
        <f t="shared" si="31"/>
        <v>0</v>
      </c>
    </row>
    <row r="47" spans="2:60" ht="21" customHeight="1" x14ac:dyDescent="0.3">
      <c r="B47" s="60" t="str">
        <f>$B$24</f>
        <v>GP triage</v>
      </c>
      <c r="C47" s="48">
        <f>IF(C$24="","",C$24)</f>
        <v>43922</v>
      </c>
      <c r="D47" s="48" t="str">
        <f>IF(D$24="","",D$24)</f>
        <v/>
      </c>
      <c r="E47" s="47">
        <f>E24</f>
        <v>3</v>
      </c>
      <c r="F47" s="75">
        <f>'GP Triage'!$G$46</f>
        <v>0</v>
      </c>
      <c r="G47" s="75">
        <f>'GP Triage'!$C$46</f>
        <v>0</v>
      </c>
      <c r="H47" s="75">
        <f>IFERROR(MIN(1,MAX(0,(EOMONTH(H$4,0)+1-$C47)/(EDATE($C47,$E47)-$C47)))*$F47/12+IF(AND(H$4&gt;=EOMONTH($C47,0),H$4&lt;=EOMONTH($C47,11)),$G47/12,0),0)</f>
        <v>0</v>
      </c>
      <c r="I47" s="75">
        <f t="shared" si="33"/>
        <v>0</v>
      </c>
      <c r="J47" s="75">
        <f t="shared" si="33"/>
        <v>0</v>
      </c>
      <c r="K47" s="75">
        <f t="shared" si="33"/>
        <v>0</v>
      </c>
      <c r="L47" s="75">
        <f t="shared" si="33"/>
        <v>0</v>
      </c>
      <c r="M47" s="75">
        <f t="shared" si="33"/>
        <v>0</v>
      </c>
      <c r="N47" s="75">
        <f t="shared" si="33"/>
        <v>0</v>
      </c>
      <c r="O47" s="75">
        <f t="shared" si="33"/>
        <v>0</v>
      </c>
      <c r="P47" s="75">
        <f t="shared" si="33"/>
        <v>0</v>
      </c>
      <c r="Q47" s="75">
        <f t="shared" si="33"/>
        <v>0</v>
      </c>
      <c r="R47" s="75">
        <f t="shared" si="33"/>
        <v>0</v>
      </c>
      <c r="S47" s="75">
        <f t="shared" si="33"/>
        <v>0</v>
      </c>
      <c r="T47" s="75">
        <f t="shared" si="33"/>
        <v>0</v>
      </c>
      <c r="U47" s="75">
        <f t="shared" si="33"/>
        <v>0</v>
      </c>
      <c r="V47" s="75">
        <f t="shared" si="33"/>
        <v>0</v>
      </c>
      <c r="W47" s="75">
        <f t="shared" si="33"/>
        <v>0</v>
      </c>
      <c r="X47" s="75">
        <f t="shared" si="33"/>
        <v>0</v>
      </c>
      <c r="Y47" s="75">
        <f t="shared" si="33"/>
        <v>0</v>
      </c>
      <c r="Z47" s="75">
        <f t="shared" si="33"/>
        <v>0</v>
      </c>
      <c r="AA47" s="75">
        <f t="shared" si="33"/>
        <v>0</v>
      </c>
      <c r="AB47" s="75">
        <f t="shared" si="33"/>
        <v>0</v>
      </c>
      <c r="AC47" s="75">
        <f t="shared" si="33"/>
        <v>0</v>
      </c>
      <c r="AD47" s="75">
        <f t="shared" si="33"/>
        <v>0</v>
      </c>
      <c r="AE47" s="75">
        <f t="shared" si="33"/>
        <v>0</v>
      </c>
      <c r="AF47" s="75">
        <f t="shared" si="33"/>
        <v>0</v>
      </c>
      <c r="AG47" s="75">
        <f t="shared" si="33"/>
        <v>0</v>
      </c>
      <c r="AH47" s="75">
        <f t="shared" si="33"/>
        <v>0</v>
      </c>
      <c r="AI47" s="75">
        <f t="shared" si="33"/>
        <v>0</v>
      </c>
      <c r="AJ47" s="75">
        <f t="shared" si="33"/>
        <v>0</v>
      </c>
      <c r="AK47" s="75">
        <f t="shared" si="33"/>
        <v>0</v>
      </c>
      <c r="AL47" s="75">
        <f t="shared" si="33"/>
        <v>0</v>
      </c>
      <c r="AM47" s="75">
        <f t="shared" si="33"/>
        <v>0</v>
      </c>
      <c r="AN47" s="75">
        <f t="shared" si="33"/>
        <v>0</v>
      </c>
      <c r="AO47" s="75">
        <f t="shared" si="33"/>
        <v>0</v>
      </c>
      <c r="AP47" s="75">
        <f t="shared" si="33"/>
        <v>0</v>
      </c>
      <c r="AQ47" s="75">
        <f t="shared" si="33"/>
        <v>0</v>
      </c>
      <c r="AR47" s="75">
        <f t="shared" si="33"/>
        <v>0</v>
      </c>
      <c r="AS47" s="75">
        <f t="shared" si="33"/>
        <v>0</v>
      </c>
      <c r="AT47" s="75">
        <f t="shared" si="33"/>
        <v>0</v>
      </c>
      <c r="AU47" s="75">
        <f t="shared" si="33"/>
        <v>0</v>
      </c>
      <c r="AV47" s="75">
        <f t="shared" si="33"/>
        <v>0</v>
      </c>
      <c r="AW47" s="75">
        <f t="shared" si="33"/>
        <v>0</v>
      </c>
      <c r="AX47" s="75">
        <f t="shared" si="33"/>
        <v>0</v>
      </c>
      <c r="AY47" s="75">
        <f t="shared" si="33"/>
        <v>0</v>
      </c>
      <c r="AZ47" s="75">
        <f t="shared" si="33"/>
        <v>0</v>
      </c>
      <c r="BA47" s="75">
        <f t="shared" si="33"/>
        <v>0</v>
      </c>
      <c r="BB47" s="75">
        <f t="shared" si="33"/>
        <v>0</v>
      </c>
      <c r="BC47" s="75">
        <f t="shared" si="33"/>
        <v>0</v>
      </c>
      <c r="BD47" s="61"/>
      <c r="BE47" s="75">
        <f t="shared" si="30"/>
        <v>0</v>
      </c>
      <c r="BF47" s="75">
        <f t="shared" si="31"/>
        <v>0</v>
      </c>
      <c r="BG47" s="75">
        <f t="shared" si="31"/>
        <v>0</v>
      </c>
      <c r="BH47" s="75">
        <f t="shared" si="31"/>
        <v>0</v>
      </c>
    </row>
    <row r="48" spans="2:60" ht="21" customHeight="1" x14ac:dyDescent="0.3">
      <c r="B48" s="60" t="s">
        <v>354</v>
      </c>
      <c r="C48" s="48">
        <f>IF(C$25="","",C$25)</f>
        <v>43891</v>
      </c>
      <c r="D48" s="48">
        <f>IF(D$25="","",D$25)</f>
        <v>43982</v>
      </c>
      <c r="E48" s="47">
        <v>1</v>
      </c>
      <c r="F48" s="75"/>
      <c r="G48" s="75"/>
      <c r="H48" s="161">
        <f>IF(AND(H$5=1,$F48&lt;&gt;""),$F48/'Covid 19'!$C$7-H47,0)</f>
        <v>0</v>
      </c>
      <c r="I48" s="161">
        <f>IF(AND(I$5=1,$F48&lt;&gt;""),$F48/'Covid 19'!$C$7-I47,0)</f>
        <v>0</v>
      </c>
      <c r="J48" s="161">
        <f>IF(AND(J$5=1,$F48&lt;&gt;""),$F48/'Covid 19'!$C$7-J47,0)</f>
        <v>0</v>
      </c>
      <c r="K48" s="161">
        <f>IF(AND(K$5=1,$F48&lt;&gt;""),$F48/'Covid 19'!$C$7-K47,0)</f>
        <v>0</v>
      </c>
      <c r="L48" s="161">
        <f>IF(AND(L$5=1,$F48&lt;&gt;""),$F48/'Covid 19'!$C$7-L47,0)</f>
        <v>0</v>
      </c>
      <c r="M48" s="161">
        <f>IF(AND(M$5=1,$F48&lt;&gt;""),$F48/'Covid 19'!$C$7-M47,0)</f>
        <v>0</v>
      </c>
      <c r="N48" s="161">
        <f>IF(AND(N$5=1,$F48&lt;&gt;""),$F48/'Covid 19'!$C$7-N47,0)</f>
        <v>0</v>
      </c>
      <c r="O48" s="161">
        <f>IF(AND(O$5=1,$F48&lt;&gt;""),$F48/'Covid 19'!$C$7-O47,0)</f>
        <v>0</v>
      </c>
      <c r="P48" s="161">
        <f>IF(AND(P$5=1,$F48&lt;&gt;""),$F48/'Covid 19'!$C$7-P47,0)</f>
        <v>0</v>
      </c>
      <c r="Q48" s="161">
        <f>IF(AND(Q$5=1,$F48&lt;&gt;""),$F48/'Covid 19'!$C$7-Q47,0)</f>
        <v>0</v>
      </c>
      <c r="R48" s="161">
        <f>IF(AND(R$5=1,$F48&lt;&gt;""),$F48/'Covid 19'!$C$7-R47,0)</f>
        <v>0</v>
      </c>
      <c r="S48" s="161">
        <f>IF(AND(S$5=1,$F48&lt;&gt;""),$F48/'Covid 19'!$C$7-S47,0)</f>
        <v>0</v>
      </c>
      <c r="T48" s="161">
        <f>IF(AND(T$5=1,$F48&lt;&gt;""),$F48/'Covid 19'!$C$7-T47,0)</f>
        <v>0</v>
      </c>
      <c r="U48" s="161">
        <f>IF(AND(U$5=1,$F48&lt;&gt;""),$F48/'Covid 19'!$C$7-U47,0)</f>
        <v>0</v>
      </c>
      <c r="V48" s="161">
        <f>IF(AND(V$5=1,$F48&lt;&gt;""),$F48/'Covid 19'!$C$7-V47,0)</f>
        <v>0</v>
      </c>
      <c r="W48" s="161">
        <f>IF(AND(W$5=1,$F48&lt;&gt;""),$F48/'Covid 19'!$C$7-W47,0)</f>
        <v>0</v>
      </c>
      <c r="X48" s="161">
        <f>IF(AND(X$5=1,$F48&lt;&gt;""),$F48/'Covid 19'!$C$7-X47,0)</f>
        <v>0</v>
      </c>
      <c r="Y48" s="161">
        <f>IF(AND(Y$5=1,$F48&lt;&gt;""),$F48/'Covid 19'!$C$7-Y47,0)</f>
        <v>0</v>
      </c>
      <c r="Z48" s="161">
        <f>IF(AND(Z$5=1,$F48&lt;&gt;""),$F48/'Covid 19'!$C$7-Z47,0)</f>
        <v>0</v>
      </c>
      <c r="AA48" s="161">
        <f>IF(AND(AA$5=1,$F48&lt;&gt;""),$F48/'Covid 19'!$C$7-AA47,0)</f>
        <v>0</v>
      </c>
      <c r="AB48" s="161">
        <f>IF(AND(AB$5=1,$F48&lt;&gt;""),$F48/'Covid 19'!$C$7-AB47,0)</f>
        <v>0</v>
      </c>
      <c r="AC48" s="161">
        <f>IF(AND(AC$5=1,$F48&lt;&gt;""),$F48/'Covid 19'!$C$7-AC47,0)</f>
        <v>0</v>
      </c>
      <c r="AD48" s="161">
        <f>IF(AND(AD$5=1,$F48&lt;&gt;""),$F48/'Covid 19'!$C$7-AD47,0)</f>
        <v>0</v>
      </c>
      <c r="AE48" s="161">
        <f>IF(AND(AE$5=1,$F48&lt;&gt;""),$F48/'Covid 19'!$C$7-AE47,0)</f>
        <v>0</v>
      </c>
      <c r="AF48" s="161">
        <f>IF(AND(AF$5=1,$F48&lt;&gt;""),$F48/'Covid 19'!$C$7-AF47,0)</f>
        <v>0</v>
      </c>
      <c r="AG48" s="161">
        <f>IF(AND(AG$5=1,$F48&lt;&gt;""),$F48/'Covid 19'!$C$7-AG47,0)</f>
        <v>0</v>
      </c>
      <c r="AH48" s="161">
        <f>IF(AND(AH$5=1,$F48&lt;&gt;""),$F48/'Covid 19'!$C$7-AH47,0)</f>
        <v>0</v>
      </c>
      <c r="AI48" s="161">
        <f>IF(AND(AI$5=1,$F48&lt;&gt;""),$F48/'Covid 19'!$C$7-AI47,0)</f>
        <v>0</v>
      </c>
      <c r="AJ48" s="161">
        <f>IF(AND(AJ$5=1,$F48&lt;&gt;""),$F48/'Covid 19'!$C$7-AJ47,0)</f>
        <v>0</v>
      </c>
      <c r="AK48" s="161">
        <f>IF(AND(AK$5=1,$F48&lt;&gt;""),$F48/'Covid 19'!$C$7-AK47,0)</f>
        <v>0</v>
      </c>
      <c r="AL48" s="161">
        <f>IF(AND(AL$5=1,$F48&lt;&gt;""),$F48/'Covid 19'!$C$7-AL47,0)</f>
        <v>0</v>
      </c>
      <c r="AM48" s="161">
        <f>IF(AND(AM$5=1,$F48&lt;&gt;""),$F48/'Covid 19'!$C$7-AM47,0)</f>
        <v>0</v>
      </c>
      <c r="AN48" s="161">
        <f>IF(AND(AN$5=1,$F48&lt;&gt;""),$F48/'Covid 19'!$C$7-AN47,0)</f>
        <v>0</v>
      </c>
      <c r="AO48" s="161">
        <f>IF(AND(AO$5=1,$F48&lt;&gt;""),$F48/'Covid 19'!$C$7-AO47,0)</f>
        <v>0</v>
      </c>
      <c r="AP48" s="161">
        <f>IF(AND(AP$5=1,$F48&lt;&gt;""),$F48/'Covid 19'!$C$7-AP47,0)</f>
        <v>0</v>
      </c>
      <c r="AQ48" s="161">
        <f>IF(AND(AQ$5=1,$F48&lt;&gt;""),$F48/'Covid 19'!$C$7-AQ47,0)</f>
        <v>0</v>
      </c>
      <c r="AR48" s="161">
        <f>IF(AND(AR$5=1,$F48&lt;&gt;""),$F48/'Covid 19'!$C$7-AR47,0)</f>
        <v>0</v>
      </c>
      <c r="AS48" s="161">
        <f>IF(AND(AS$5=1,$F48&lt;&gt;""),$F48/'Covid 19'!$C$7-AS47,0)</f>
        <v>0</v>
      </c>
      <c r="AT48" s="161">
        <f>IF(AND(AT$5=1,$F48&lt;&gt;""),$F48/'Covid 19'!$C$7-AT47,0)</f>
        <v>0</v>
      </c>
      <c r="AU48" s="161">
        <f>IF(AND(AU$5=1,$F48&lt;&gt;""),$F48/'Covid 19'!$C$7-AU47,0)</f>
        <v>0</v>
      </c>
      <c r="AV48" s="161">
        <f>IF(AND(AV$5=1,$F48&lt;&gt;""),$F48/'Covid 19'!$C$7-AV47,0)</f>
        <v>0</v>
      </c>
      <c r="AW48" s="161">
        <f>IF(AND(AW$5=1,$F48&lt;&gt;""),$F48/'Covid 19'!$C$7-AW47,0)</f>
        <v>0</v>
      </c>
      <c r="AX48" s="161">
        <f>IF(AND(AX$5=1,$F48&lt;&gt;""),$F48/'Covid 19'!$C$7-AX47,0)</f>
        <v>0</v>
      </c>
      <c r="AY48" s="161">
        <f>IF(AND(AY$5=1,$F48&lt;&gt;""),$F48/'Covid 19'!$C$7-AY47,0)</f>
        <v>0</v>
      </c>
      <c r="AZ48" s="161">
        <f>IF(AND(AZ$5=1,$F48&lt;&gt;""),$F48/'Covid 19'!$C$7-AZ47,0)</f>
        <v>0</v>
      </c>
      <c r="BA48" s="161">
        <f>IF(AND(BA$5=1,$F48&lt;&gt;""),$F48/'Covid 19'!$C$7-BA47,0)</f>
        <v>0</v>
      </c>
      <c r="BB48" s="161">
        <f>IF(AND(BB$5=1,$F48&lt;&gt;""),$F48/'Covid 19'!$C$7-BB47,0)</f>
        <v>0</v>
      </c>
      <c r="BC48" s="161">
        <f>IF(AND(BC$5=1,$F48&lt;&gt;""),$F48/'Covid 19'!$C$7-BC47,0)</f>
        <v>0</v>
      </c>
      <c r="BE48" s="75">
        <f t="shared" si="30"/>
        <v>0</v>
      </c>
      <c r="BF48" s="75">
        <f t="shared" si="31"/>
        <v>0</v>
      </c>
      <c r="BG48" s="75">
        <f t="shared" si="31"/>
        <v>0</v>
      </c>
      <c r="BH48" s="75">
        <f t="shared" si="31"/>
        <v>0</v>
      </c>
    </row>
    <row r="49" spans="2:60" ht="21" customHeight="1" x14ac:dyDescent="0.3">
      <c r="B49" s="60" t="str">
        <f>B26</f>
        <v>Virtual consults</v>
      </c>
      <c r="C49" s="48">
        <f>IF(C$26="","",C$26)</f>
        <v>43922</v>
      </c>
      <c r="D49" s="48" t="str">
        <f>IF(D$26="","",D$26)</f>
        <v/>
      </c>
      <c r="E49" s="47">
        <f>E26</f>
        <v>36</v>
      </c>
      <c r="F49" s="75">
        <f>Virtual!C30</f>
        <v>4260</v>
      </c>
      <c r="G49" s="75">
        <f>Virtual!C22</f>
        <v>0</v>
      </c>
      <c r="H49" s="75">
        <f>IFERROR(MIN(1,MAX(0,(EOMONTH(H$4,0)+1-$C49)/(EDATE($C49,$E49)-$C49)))*$F49/12+IF(AND(H$4&gt;=EOMONTH($C49,0),H$4&lt;=EOMONTH($C49,11)),$G49/12,0),0)</f>
        <v>0</v>
      </c>
      <c r="I49" s="75">
        <f t="shared" si="33"/>
        <v>0</v>
      </c>
      <c r="J49" s="75">
        <f t="shared" si="33"/>
        <v>0</v>
      </c>
      <c r="K49" s="75">
        <f t="shared" si="33"/>
        <v>0</v>
      </c>
      <c r="L49" s="75">
        <f t="shared" si="33"/>
        <v>0</v>
      </c>
      <c r="M49" s="75">
        <f t="shared" si="33"/>
        <v>0</v>
      </c>
      <c r="N49" s="75">
        <f t="shared" si="33"/>
        <v>0</v>
      </c>
      <c r="O49" s="75">
        <f t="shared" si="33"/>
        <v>0</v>
      </c>
      <c r="P49" s="75">
        <f t="shared" si="33"/>
        <v>0</v>
      </c>
      <c r="Q49" s="75">
        <f t="shared" si="33"/>
        <v>0</v>
      </c>
      <c r="R49" s="75">
        <f t="shared" si="33"/>
        <v>0</v>
      </c>
      <c r="S49" s="75">
        <f t="shared" si="33"/>
        <v>0</v>
      </c>
      <c r="T49" s="75">
        <f t="shared" si="33"/>
        <v>9.7260273972602729</v>
      </c>
      <c r="U49" s="75">
        <f t="shared" si="33"/>
        <v>19.776255707762559</v>
      </c>
      <c r="V49" s="75">
        <f t="shared" si="33"/>
        <v>29.50228310502283</v>
      </c>
      <c r="W49" s="75">
        <f t="shared" si="33"/>
        <v>39.552511415525117</v>
      </c>
      <c r="X49" s="75">
        <f t="shared" si="33"/>
        <v>49.602739726027401</v>
      </c>
      <c r="Y49" s="75">
        <f t="shared" si="33"/>
        <v>59.328767123287669</v>
      </c>
      <c r="Z49" s="75">
        <f t="shared" si="33"/>
        <v>69.378995433789967</v>
      </c>
      <c r="AA49" s="75">
        <f t="shared" si="33"/>
        <v>79.105022831050235</v>
      </c>
      <c r="AB49" s="75">
        <f t="shared" si="33"/>
        <v>89.155251141552512</v>
      </c>
      <c r="AC49" s="75">
        <f t="shared" si="33"/>
        <v>99.205479452054803</v>
      </c>
      <c r="AD49" s="75">
        <f t="shared" si="33"/>
        <v>108.28310502283107</v>
      </c>
      <c r="AE49" s="75">
        <f t="shared" si="33"/>
        <v>118.33333333333333</v>
      </c>
      <c r="AF49" s="75">
        <f t="shared" si="33"/>
        <v>128.0593607305936</v>
      </c>
      <c r="AG49" s="75">
        <f t="shared" si="33"/>
        <v>138.10958904109589</v>
      </c>
      <c r="AH49" s="75">
        <f t="shared" si="33"/>
        <v>147.83561643835617</v>
      </c>
      <c r="AI49" s="75">
        <f t="shared" si="33"/>
        <v>157.88584474885843</v>
      </c>
      <c r="AJ49" s="75">
        <f t="shared" si="33"/>
        <v>167.93607305936072</v>
      </c>
      <c r="AK49" s="75">
        <f t="shared" si="33"/>
        <v>177.662100456621</v>
      </c>
      <c r="AL49" s="75">
        <f t="shared" si="33"/>
        <v>187.7123287671233</v>
      </c>
      <c r="AM49" s="75">
        <f t="shared" si="33"/>
        <v>197.43835616438358</v>
      </c>
      <c r="AN49" s="75">
        <f t="shared" si="33"/>
        <v>207.48858447488581</v>
      </c>
      <c r="AO49" s="75">
        <f t="shared" si="33"/>
        <v>217.53881278538813</v>
      </c>
      <c r="AP49" s="75">
        <f t="shared" si="33"/>
        <v>226.61643835616439</v>
      </c>
      <c r="AQ49" s="75">
        <f t="shared" si="33"/>
        <v>236.66666666666666</v>
      </c>
      <c r="AR49" s="75">
        <f t="shared" si="33"/>
        <v>246.39269406392691</v>
      </c>
      <c r="AS49" s="75">
        <f t="shared" si="33"/>
        <v>256.4429223744292</v>
      </c>
      <c r="AT49" s="75">
        <f t="shared" si="33"/>
        <v>266.16894977168948</v>
      </c>
      <c r="AU49" s="75">
        <f t="shared" si="33"/>
        <v>276.21917808219177</v>
      </c>
      <c r="AV49" s="75">
        <f t="shared" si="33"/>
        <v>286.26940639269407</v>
      </c>
      <c r="AW49" s="75">
        <f t="shared" si="33"/>
        <v>295.99543378995435</v>
      </c>
      <c r="AX49" s="75">
        <f t="shared" si="33"/>
        <v>306.04566210045658</v>
      </c>
      <c r="AY49" s="75">
        <f t="shared" si="33"/>
        <v>315.77168949771686</v>
      </c>
      <c r="AZ49" s="75">
        <f t="shared" si="33"/>
        <v>325.82191780821921</v>
      </c>
      <c r="BA49" s="75">
        <f t="shared" si="33"/>
        <v>335.87214611872145</v>
      </c>
      <c r="BB49" s="75">
        <f t="shared" si="33"/>
        <v>344.94977168949771</v>
      </c>
      <c r="BC49" s="75">
        <f t="shared" si="33"/>
        <v>355</v>
      </c>
      <c r="BD49" s="61"/>
      <c r="BE49" s="75">
        <f t="shared" si="30"/>
        <v>0</v>
      </c>
      <c r="BF49" s="75">
        <f t="shared" si="31"/>
        <v>770.94977168949777</v>
      </c>
      <c r="BG49" s="75">
        <f t="shared" si="31"/>
        <v>2190.9497716894975</v>
      </c>
      <c r="BH49" s="75">
        <f t="shared" si="31"/>
        <v>3610.9497716894975</v>
      </c>
    </row>
    <row r="50" spans="2:60" ht="21" customHeight="1" x14ac:dyDescent="0.3">
      <c r="B50" s="60" t="s">
        <v>367</v>
      </c>
      <c r="C50" s="48">
        <f>C42</f>
        <v>43891</v>
      </c>
      <c r="D50" s="48">
        <f>D43</f>
        <v>44165</v>
      </c>
      <c r="E50" s="47">
        <v>1</v>
      </c>
      <c r="F50" s="75"/>
      <c r="G50" s="75"/>
      <c r="H50" s="161">
        <f>IF(AND(H$5=1,$G50&lt;&gt;""),$G50-H49,IF(AND(H$5=2,$F50&lt;&gt;""),$F50-H49,0))</f>
        <v>0</v>
      </c>
      <c r="I50" s="161">
        <f t="shared" ref="I50:BC50" si="34">IF(AND(I$5=1,$G50&lt;&gt;""),$G50-I49,IF(AND(I$5=2,$F50&lt;&gt;""),$F50-I49,0))</f>
        <v>0</v>
      </c>
      <c r="J50" s="161">
        <f t="shared" si="34"/>
        <v>0</v>
      </c>
      <c r="K50" s="161">
        <f t="shared" si="34"/>
        <v>0</v>
      </c>
      <c r="L50" s="161">
        <f t="shared" si="34"/>
        <v>0</v>
      </c>
      <c r="M50" s="161">
        <f t="shared" si="34"/>
        <v>0</v>
      </c>
      <c r="N50" s="161">
        <f t="shared" si="34"/>
        <v>0</v>
      </c>
      <c r="O50" s="161">
        <f t="shared" si="34"/>
        <v>0</v>
      </c>
      <c r="P50" s="161">
        <f t="shared" si="34"/>
        <v>0</v>
      </c>
      <c r="Q50" s="161">
        <f t="shared" si="34"/>
        <v>0</v>
      </c>
      <c r="R50" s="161">
        <f t="shared" si="34"/>
        <v>0</v>
      </c>
      <c r="S50" s="161">
        <f t="shared" si="34"/>
        <v>0</v>
      </c>
      <c r="T50" s="161">
        <f t="shared" si="34"/>
        <v>0</v>
      </c>
      <c r="U50" s="161">
        <f t="shared" si="34"/>
        <v>0</v>
      </c>
      <c r="V50" s="161">
        <f t="shared" si="34"/>
        <v>0</v>
      </c>
      <c r="W50" s="161">
        <f t="shared" si="34"/>
        <v>0</v>
      </c>
      <c r="X50" s="161">
        <f t="shared" si="34"/>
        <v>0</v>
      </c>
      <c r="Y50" s="161">
        <f t="shared" si="34"/>
        <v>0</v>
      </c>
      <c r="Z50" s="161">
        <f t="shared" si="34"/>
        <v>0</v>
      </c>
      <c r="AA50" s="161">
        <f t="shared" si="34"/>
        <v>0</v>
      </c>
      <c r="AB50" s="161">
        <f t="shared" si="34"/>
        <v>0</v>
      </c>
      <c r="AC50" s="161">
        <f t="shared" si="34"/>
        <v>0</v>
      </c>
      <c r="AD50" s="161">
        <f t="shared" si="34"/>
        <v>0</v>
      </c>
      <c r="AE50" s="161">
        <f t="shared" si="34"/>
        <v>0</v>
      </c>
      <c r="AF50" s="161">
        <f t="shared" si="34"/>
        <v>0</v>
      </c>
      <c r="AG50" s="161">
        <f t="shared" si="34"/>
        <v>0</v>
      </c>
      <c r="AH50" s="161">
        <f t="shared" si="34"/>
        <v>0</v>
      </c>
      <c r="AI50" s="161">
        <f t="shared" si="34"/>
        <v>0</v>
      </c>
      <c r="AJ50" s="161">
        <f t="shared" si="34"/>
        <v>0</v>
      </c>
      <c r="AK50" s="161">
        <f t="shared" si="34"/>
        <v>0</v>
      </c>
      <c r="AL50" s="161">
        <f t="shared" si="34"/>
        <v>0</v>
      </c>
      <c r="AM50" s="161">
        <f t="shared" si="34"/>
        <v>0</v>
      </c>
      <c r="AN50" s="161">
        <f t="shared" si="34"/>
        <v>0</v>
      </c>
      <c r="AO50" s="161">
        <f t="shared" si="34"/>
        <v>0</v>
      </c>
      <c r="AP50" s="161">
        <f t="shared" si="34"/>
        <v>0</v>
      </c>
      <c r="AQ50" s="161">
        <f t="shared" si="34"/>
        <v>0</v>
      </c>
      <c r="AR50" s="161">
        <f t="shared" si="34"/>
        <v>0</v>
      </c>
      <c r="AS50" s="161">
        <f t="shared" si="34"/>
        <v>0</v>
      </c>
      <c r="AT50" s="161">
        <f t="shared" si="34"/>
        <v>0</v>
      </c>
      <c r="AU50" s="161">
        <f t="shared" si="34"/>
        <v>0</v>
      </c>
      <c r="AV50" s="161">
        <f t="shared" si="34"/>
        <v>0</v>
      </c>
      <c r="AW50" s="161">
        <f t="shared" si="34"/>
        <v>0</v>
      </c>
      <c r="AX50" s="161">
        <f t="shared" si="34"/>
        <v>0</v>
      </c>
      <c r="AY50" s="161">
        <f t="shared" si="34"/>
        <v>0</v>
      </c>
      <c r="AZ50" s="161">
        <f t="shared" si="34"/>
        <v>0</v>
      </c>
      <c r="BA50" s="161">
        <f t="shared" si="34"/>
        <v>0</v>
      </c>
      <c r="BB50" s="161">
        <f t="shared" si="34"/>
        <v>0</v>
      </c>
      <c r="BC50" s="161">
        <f t="shared" si="34"/>
        <v>0</v>
      </c>
      <c r="BE50" s="75">
        <f t="shared" si="30"/>
        <v>0</v>
      </c>
      <c r="BF50" s="75">
        <f t="shared" si="31"/>
        <v>0</v>
      </c>
      <c r="BG50" s="75">
        <f t="shared" si="31"/>
        <v>0</v>
      </c>
      <c r="BH50" s="75">
        <f t="shared" si="31"/>
        <v>0</v>
      </c>
    </row>
    <row r="51" spans="2:60" ht="21" customHeight="1" x14ac:dyDescent="0.3">
      <c r="B51" s="60" t="str">
        <f>$B$28</f>
        <v>YOC</v>
      </c>
      <c r="C51" s="48">
        <f>IF(C$28="","",C$28)</f>
        <v>43922</v>
      </c>
      <c r="D51" s="48" t="str">
        <f>IF(D$28="","",D$28)</f>
        <v/>
      </c>
      <c r="E51" s="47">
        <f>IF(E$28="","",E$28)</f>
        <v>12</v>
      </c>
      <c r="F51" s="75">
        <f>IF(YOC_Include="Yes",YOC!I29,0)</f>
        <v>0</v>
      </c>
      <c r="G51" s="75">
        <f>IF(YOC_Include="Yes",YOC!I21,0)</f>
        <v>0</v>
      </c>
      <c r="H51" s="75">
        <f>IFERROR(MIN(1,MAX(0,(EOMONTH(H$4,0)+1-$C51)/(EDATE($C51,$E51)-$C51)))*$F51/12+IF(AND(H$4&gt;=EOMONTH($C51,0),H$4&lt;=EOMONTH($C51,11)),$G51/12,0),0)</f>
        <v>0</v>
      </c>
      <c r="I51" s="75">
        <f t="shared" si="33"/>
        <v>0</v>
      </c>
      <c r="J51" s="75">
        <f t="shared" si="33"/>
        <v>0</v>
      </c>
      <c r="K51" s="75">
        <f t="shared" si="33"/>
        <v>0</v>
      </c>
      <c r="L51" s="75">
        <f t="shared" si="33"/>
        <v>0</v>
      </c>
      <c r="M51" s="75">
        <f t="shared" si="33"/>
        <v>0</v>
      </c>
      <c r="N51" s="75">
        <f t="shared" si="33"/>
        <v>0</v>
      </c>
      <c r="O51" s="75">
        <f t="shared" si="33"/>
        <v>0</v>
      </c>
      <c r="P51" s="75">
        <f t="shared" si="33"/>
        <v>0</v>
      </c>
      <c r="Q51" s="75">
        <f t="shared" si="33"/>
        <v>0</v>
      </c>
      <c r="R51" s="75">
        <f t="shared" si="33"/>
        <v>0</v>
      </c>
      <c r="S51" s="75">
        <f t="shared" si="33"/>
        <v>0</v>
      </c>
      <c r="T51" s="75">
        <f t="shared" si="33"/>
        <v>0</v>
      </c>
      <c r="U51" s="75">
        <f t="shared" si="33"/>
        <v>0</v>
      </c>
      <c r="V51" s="75">
        <f t="shared" si="33"/>
        <v>0</v>
      </c>
      <c r="W51" s="75">
        <f t="shared" si="33"/>
        <v>0</v>
      </c>
      <c r="X51" s="75">
        <f t="shared" si="33"/>
        <v>0</v>
      </c>
      <c r="Y51" s="75">
        <f t="shared" si="33"/>
        <v>0</v>
      </c>
      <c r="Z51" s="75">
        <f t="shared" si="33"/>
        <v>0</v>
      </c>
      <c r="AA51" s="75">
        <f t="shared" si="33"/>
        <v>0</v>
      </c>
      <c r="AB51" s="75">
        <f t="shared" si="33"/>
        <v>0</v>
      </c>
      <c r="AC51" s="75">
        <f t="shared" si="33"/>
        <v>0</v>
      </c>
      <c r="AD51" s="75">
        <f t="shared" si="33"/>
        <v>0</v>
      </c>
      <c r="AE51" s="75">
        <f t="shared" si="33"/>
        <v>0</v>
      </c>
      <c r="AF51" s="75">
        <f t="shared" si="33"/>
        <v>0</v>
      </c>
      <c r="AG51" s="75">
        <f t="shared" si="33"/>
        <v>0</v>
      </c>
      <c r="AH51" s="75">
        <f t="shared" si="33"/>
        <v>0</v>
      </c>
      <c r="AI51" s="75">
        <f t="shared" si="33"/>
        <v>0</v>
      </c>
      <c r="AJ51" s="75">
        <f t="shared" si="33"/>
        <v>0</v>
      </c>
      <c r="AK51" s="75">
        <f t="shared" si="33"/>
        <v>0</v>
      </c>
      <c r="AL51" s="75">
        <f t="shared" si="33"/>
        <v>0</v>
      </c>
      <c r="AM51" s="75">
        <f t="shared" si="33"/>
        <v>0</v>
      </c>
      <c r="AN51" s="75">
        <f t="shared" si="33"/>
        <v>0</v>
      </c>
      <c r="AO51" s="75">
        <f t="shared" si="33"/>
        <v>0</v>
      </c>
      <c r="AP51" s="75">
        <f t="shared" si="33"/>
        <v>0</v>
      </c>
      <c r="AQ51" s="75">
        <f t="shared" si="33"/>
        <v>0</v>
      </c>
      <c r="AR51" s="75">
        <f t="shared" si="33"/>
        <v>0</v>
      </c>
      <c r="AS51" s="75">
        <f t="shared" si="33"/>
        <v>0</v>
      </c>
      <c r="AT51" s="75">
        <f t="shared" si="33"/>
        <v>0</v>
      </c>
      <c r="AU51" s="75">
        <f t="shared" si="33"/>
        <v>0</v>
      </c>
      <c r="AV51" s="75">
        <f t="shared" si="33"/>
        <v>0</v>
      </c>
      <c r="AW51" s="75">
        <f t="shared" si="33"/>
        <v>0</v>
      </c>
      <c r="AX51" s="75">
        <f t="shared" si="33"/>
        <v>0</v>
      </c>
      <c r="AY51" s="75">
        <f t="shared" si="33"/>
        <v>0</v>
      </c>
      <c r="AZ51" s="75">
        <f t="shared" si="33"/>
        <v>0</v>
      </c>
      <c r="BA51" s="75">
        <f t="shared" si="33"/>
        <v>0</v>
      </c>
      <c r="BB51" s="75">
        <f t="shared" si="33"/>
        <v>0</v>
      </c>
      <c r="BC51" s="75">
        <f t="shared" si="33"/>
        <v>0</v>
      </c>
      <c r="BD51" s="61"/>
      <c r="BE51" s="75">
        <f t="shared" si="30"/>
        <v>0</v>
      </c>
      <c r="BF51" s="75">
        <f t="shared" si="31"/>
        <v>0</v>
      </c>
      <c r="BG51" s="75">
        <f t="shared" si="31"/>
        <v>0</v>
      </c>
      <c r="BH51" s="75">
        <f t="shared" si="31"/>
        <v>0</v>
      </c>
    </row>
    <row r="52" spans="2:60" ht="21" customHeight="1" x14ac:dyDescent="0.3">
      <c r="B52" s="60" t="str">
        <f>$B$29</f>
        <v>Extended hours</v>
      </c>
      <c r="C52" s="48">
        <f>IF(C$29="","",C$29)</f>
        <v>43922</v>
      </c>
      <c r="D52" s="48" t="str">
        <f>IF(D$29="","",D$29)</f>
        <v/>
      </c>
      <c r="E52" s="47">
        <v>1</v>
      </c>
      <c r="F52" s="75">
        <f>(SUM('Extended Hours'!C10:F10)*'Extended Hours'!C4)+'Extended Hours'!C26</f>
        <v>1201.9230769230769</v>
      </c>
      <c r="G52" s="75">
        <f>'Extended Hours'!C18</f>
        <v>0</v>
      </c>
      <c r="H52" s="75">
        <f>IFERROR(MIN(1,MAX(0,(EOMONTH(H$4,0)+1-$C52)/(EDATE($C52,$E52)-$C52)))*$F52/12+IF(AND(H$4&gt;=EOMONTH($C52,0),H$4&lt;=EOMONTH($C52,11)),$G52/12,0),0)</f>
        <v>0</v>
      </c>
      <c r="I52" s="75">
        <f t="shared" si="33"/>
        <v>0</v>
      </c>
      <c r="J52" s="75">
        <f t="shared" si="33"/>
        <v>0</v>
      </c>
      <c r="K52" s="75">
        <f t="shared" si="33"/>
        <v>0</v>
      </c>
      <c r="L52" s="75">
        <f t="shared" si="33"/>
        <v>0</v>
      </c>
      <c r="M52" s="75">
        <f t="shared" si="33"/>
        <v>0</v>
      </c>
      <c r="N52" s="75">
        <f t="shared" si="33"/>
        <v>0</v>
      </c>
      <c r="O52" s="75">
        <f t="shared" si="33"/>
        <v>0</v>
      </c>
      <c r="P52" s="75">
        <f t="shared" si="33"/>
        <v>0</v>
      </c>
      <c r="Q52" s="75">
        <f t="shared" si="33"/>
        <v>0</v>
      </c>
      <c r="R52" s="75">
        <f t="shared" si="33"/>
        <v>0</v>
      </c>
      <c r="S52" s="75">
        <f t="shared" si="33"/>
        <v>0</v>
      </c>
      <c r="T52" s="75">
        <f t="shared" si="33"/>
        <v>100.16025641025641</v>
      </c>
      <c r="U52" s="75">
        <f t="shared" si="33"/>
        <v>100.16025641025641</v>
      </c>
      <c r="V52" s="75">
        <f t="shared" si="33"/>
        <v>100.16025641025641</v>
      </c>
      <c r="W52" s="75">
        <f t="shared" si="33"/>
        <v>100.16025641025641</v>
      </c>
      <c r="X52" s="75">
        <f t="shared" si="33"/>
        <v>100.16025641025641</v>
      </c>
      <c r="Y52" s="75">
        <f t="shared" si="33"/>
        <v>100.16025641025641</v>
      </c>
      <c r="Z52" s="75">
        <f t="shared" si="33"/>
        <v>100.16025641025641</v>
      </c>
      <c r="AA52" s="75">
        <f t="shared" si="33"/>
        <v>100.16025641025641</v>
      </c>
      <c r="AB52" s="75">
        <f t="shared" si="33"/>
        <v>100.16025641025641</v>
      </c>
      <c r="AC52" s="75">
        <f t="shared" ref="AC52:BC52" si="35">IFERROR(MIN(1,MAX(0,(EOMONTH(AC$4,0)+1-$C52)/(EDATE($C52,$E52)-$C52)))*$F52/12+IF(AND(AC$4&gt;=EOMONTH($C52,0),AC$4&lt;=EOMONTH($C52,11)),$G52/12,0),0)</f>
        <v>100.16025641025641</v>
      </c>
      <c r="AD52" s="75">
        <f t="shared" si="35"/>
        <v>100.16025641025641</v>
      </c>
      <c r="AE52" s="75">
        <f t="shared" si="35"/>
        <v>100.16025641025641</v>
      </c>
      <c r="AF52" s="75">
        <f t="shared" si="35"/>
        <v>100.16025641025641</v>
      </c>
      <c r="AG52" s="75">
        <f t="shared" si="35"/>
        <v>100.16025641025641</v>
      </c>
      <c r="AH52" s="75">
        <f t="shared" si="35"/>
        <v>100.16025641025641</v>
      </c>
      <c r="AI52" s="75">
        <f t="shared" si="35"/>
        <v>100.16025641025641</v>
      </c>
      <c r="AJ52" s="75">
        <f t="shared" si="35"/>
        <v>100.16025641025641</v>
      </c>
      <c r="AK52" s="75">
        <f t="shared" si="35"/>
        <v>100.16025641025641</v>
      </c>
      <c r="AL52" s="75">
        <f t="shared" si="35"/>
        <v>100.16025641025641</v>
      </c>
      <c r="AM52" s="75">
        <f t="shared" si="35"/>
        <v>100.16025641025641</v>
      </c>
      <c r="AN52" s="75">
        <f t="shared" si="35"/>
        <v>100.16025641025641</v>
      </c>
      <c r="AO52" s="75">
        <f t="shared" si="35"/>
        <v>100.16025641025641</v>
      </c>
      <c r="AP52" s="75">
        <f t="shared" si="35"/>
        <v>100.16025641025641</v>
      </c>
      <c r="AQ52" s="75">
        <f t="shared" si="35"/>
        <v>100.16025641025641</v>
      </c>
      <c r="AR52" s="75">
        <f t="shared" si="35"/>
        <v>100.16025641025641</v>
      </c>
      <c r="AS52" s="75">
        <f t="shared" si="35"/>
        <v>100.16025641025641</v>
      </c>
      <c r="AT52" s="75">
        <f t="shared" si="35"/>
        <v>100.16025641025641</v>
      </c>
      <c r="AU52" s="75">
        <f t="shared" si="35"/>
        <v>100.16025641025641</v>
      </c>
      <c r="AV52" s="75">
        <f t="shared" si="35"/>
        <v>100.16025641025641</v>
      </c>
      <c r="AW52" s="75">
        <f t="shared" si="35"/>
        <v>100.16025641025641</v>
      </c>
      <c r="AX52" s="75">
        <f t="shared" si="35"/>
        <v>100.16025641025641</v>
      </c>
      <c r="AY52" s="75">
        <f t="shared" si="35"/>
        <v>100.16025641025641</v>
      </c>
      <c r="AZ52" s="75">
        <f t="shared" si="35"/>
        <v>100.16025641025641</v>
      </c>
      <c r="BA52" s="75">
        <f t="shared" si="35"/>
        <v>100.16025641025641</v>
      </c>
      <c r="BB52" s="75">
        <f t="shared" si="35"/>
        <v>100.16025641025641</v>
      </c>
      <c r="BC52" s="75">
        <f t="shared" si="35"/>
        <v>100.16025641025641</v>
      </c>
      <c r="BD52" s="61"/>
      <c r="BE52" s="75">
        <f t="shared" si="30"/>
        <v>0</v>
      </c>
      <c r="BF52" s="75">
        <f t="shared" si="31"/>
        <v>1201.9230769230767</v>
      </c>
      <c r="BG52" s="75">
        <f t="shared" si="31"/>
        <v>1201.9230769230767</v>
      </c>
      <c r="BH52" s="75">
        <f t="shared" si="31"/>
        <v>1201.9230769230767</v>
      </c>
    </row>
    <row r="53" spans="2:60" ht="21" customHeight="1" x14ac:dyDescent="0.3">
      <c r="B53" s="60" t="str">
        <f>$B$30</f>
        <v>Multi-discliplinary Team Meetings</v>
      </c>
      <c r="C53" s="48">
        <f>IF(C$30="","",C$30)</f>
        <v>43922</v>
      </c>
      <c r="D53" s="48" t="str">
        <f>IF(D$30="","",D$30)</f>
        <v/>
      </c>
      <c r="E53" s="47">
        <v>1</v>
      </c>
      <c r="F53" s="75">
        <f>MDT!F24</f>
        <v>1200</v>
      </c>
      <c r="G53" s="75">
        <f>MDT!C24</f>
        <v>0</v>
      </c>
      <c r="H53" s="75">
        <f>IFERROR(MIN(1,MAX(0,(EOMONTH(H$4,0)+1-$C53)/(EDATE($C53,$E53)-$C53)))*$F53/12+IF(AND(H$4&gt;=EOMONTH($C53,0),H$4&lt;=EOMONTH($C53,11)),$G53/12,0),0)</f>
        <v>0</v>
      </c>
      <c r="I53" s="75">
        <f t="shared" ref="I53:BC57" si="36">IFERROR(MIN(1,MAX(0,(EOMONTH(I$4,0)+1-$C53)/(EDATE($C53,$E53)-$C53)))*$F53/12+IF(AND(I$4&gt;=EOMONTH($C53,0),I$4&lt;=EOMONTH($C53,11)),$G53/12,0),0)</f>
        <v>0</v>
      </c>
      <c r="J53" s="75">
        <f t="shared" si="36"/>
        <v>0</v>
      </c>
      <c r="K53" s="75">
        <f t="shared" si="36"/>
        <v>0</v>
      </c>
      <c r="L53" s="75">
        <f t="shared" si="36"/>
        <v>0</v>
      </c>
      <c r="M53" s="75">
        <f t="shared" si="36"/>
        <v>0</v>
      </c>
      <c r="N53" s="75">
        <f t="shared" si="36"/>
        <v>0</v>
      </c>
      <c r="O53" s="75">
        <f t="shared" si="36"/>
        <v>0</v>
      </c>
      <c r="P53" s="75">
        <f t="shared" si="36"/>
        <v>0</v>
      </c>
      <c r="Q53" s="75">
        <f t="shared" si="36"/>
        <v>0</v>
      </c>
      <c r="R53" s="75">
        <f t="shared" si="36"/>
        <v>0</v>
      </c>
      <c r="S53" s="75">
        <f t="shared" si="36"/>
        <v>0</v>
      </c>
      <c r="T53" s="75">
        <f t="shared" si="36"/>
        <v>100</v>
      </c>
      <c r="U53" s="75">
        <f t="shared" si="36"/>
        <v>100</v>
      </c>
      <c r="V53" s="75">
        <f t="shared" si="36"/>
        <v>100</v>
      </c>
      <c r="W53" s="75">
        <f t="shared" si="36"/>
        <v>100</v>
      </c>
      <c r="X53" s="75">
        <f t="shared" si="36"/>
        <v>100</v>
      </c>
      <c r="Y53" s="75">
        <f t="shared" si="36"/>
        <v>100</v>
      </c>
      <c r="Z53" s="75">
        <f t="shared" si="36"/>
        <v>100</v>
      </c>
      <c r="AA53" s="75">
        <f t="shared" si="36"/>
        <v>100</v>
      </c>
      <c r="AB53" s="75">
        <f t="shared" si="36"/>
        <v>100</v>
      </c>
      <c r="AC53" s="75">
        <f t="shared" si="36"/>
        <v>100</v>
      </c>
      <c r="AD53" s="75">
        <f t="shared" si="36"/>
        <v>100</v>
      </c>
      <c r="AE53" s="75">
        <f t="shared" si="36"/>
        <v>100</v>
      </c>
      <c r="AF53" s="75">
        <f t="shared" si="36"/>
        <v>100</v>
      </c>
      <c r="AG53" s="75">
        <f t="shared" si="36"/>
        <v>100</v>
      </c>
      <c r="AH53" s="75">
        <f t="shared" si="36"/>
        <v>100</v>
      </c>
      <c r="AI53" s="75">
        <f t="shared" si="36"/>
        <v>100</v>
      </c>
      <c r="AJ53" s="75">
        <f t="shared" si="36"/>
        <v>100</v>
      </c>
      <c r="AK53" s="75">
        <f t="shared" si="36"/>
        <v>100</v>
      </c>
      <c r="AL53" s="75">
        <f t="shared" si="36"/>
        <v>100</v>
      </c>
      <c r="AM53" s="75">
        <f t="shared" si="36"/>
        <v>100</v>
      </c>
      <c r="AN53" s="75">
        <f t="shared" si="36"/>
        <v>100</v>
      </c>
      <c r="AO53" s="75">
        <f t="shared" si="36"/>
        <v>100</v>
      </c>
      <c r="AP53" s="75">
        <f t="shared" si="36"/>
        <v>100</v>
      </c>
      <c r="AQ53" s="75">
        <f t="shared" si="36"/>
        <v>100</v>
      </c>
      <c r="AR53" s="75">
        <f t="shared" si="36"/>
        <v>100</v>
      </c>
      <c r="AS53" s="75">
        <f t="shared" si="36"/>
        <v>100</v>
      </c>
      <c r="AT53" s="75">
        <f t="shared" si="36"/>
        <v>100</v>
      </c>
      <c r="AU53" s="75">
        <f t="shared" si="36"/>
        <v>100</v>
      </c>
      <c r="AV53" s="75">
        <f t="shared" si="36"/>
        <v>100</v>
      </c>
      <c r="AW53" s="75">
        <f t="shared" si="36"/>
        <v>100</v>
      </c>
      <c r="AX53" s="75">
        <f t="shared" si="36"/>
        <v>100</v>
      </c>
      <c r="AY53" s="75">
        <f t="shared" si="36"/>
        <v>100</v>
      </c>
      <c r="AZ53" s="75">
        <f t="shared" si="36"/>
        <v>100</v>
      </c>
      <c r="BA53" s="75">
        <f t="shared" si="36"/>
        <v>100</v>
      </c>
      <c r="BB53" s="75">
        <f t="shared" si="36"/>
        <v>100</v>
      </c>
      <c r="BC53" s="75">
        <f t="shared" si="36"/>
        <v>100</v>
      </c>
      <c r="BD53" s="61"/>
      <c r="BE53" s="75">
        <f t="shared" si="30"/>
        <v>0</v>
      </c>
      <c r="BF53" s="75">
        <f t="shared" si="31"/>
        <v>1200</v>
      </c>
      <c r="BG53" s="75">
        <f t="shared" si="31"/>
        <v>1200</v>
      </c>
      <c r="BH53" s="75">
        <f t="shared" si="31"/>
        <v>1200</v>
      </c>
    </row>
    <row r="54" spans="2:60" ht="21" customHeight="1" x14ac:dyDescent="0.3">
      <c r="B54" s="60" t="str">
        <f>$B$31</f>
        <v>Huddles</v>
      </c>
      <c r="C54" s="48">
        <f>IF(C$31="","",C$31)</f>
        <v>43922</v>
      </c>
      <c r="D54" s="48" t="str">
        <f>IF(D$31="","",D$31)</f>
        <v/>
      </c>
      <c r="E54" s="47">
        <f>IF(E$31="","",E$31)</f>
        <v>1</v>
      </c>
      <c r="F54" s="75">
        <f>Huddles!C28</f>
        <v>50</v>
      </c>
      <c r="G54" s="75">
        <f>Huddles!C20</f>
        <v>1000</v>
      </c>
      <c r="H54" s="75">
        <f>IFERROR(MIN(1,MAX(0,(EOMONTH(H$4,0)+1-$C54)/(EDATE($C54,$E54)-$C54)))*$F54/12+IF(AND(H$4&gt;=EOMONTH($C54,0),H$4&lt;=EOMONTH($C54,11)),$G54/12,0),0)</f>
        <v>0</v>
      </c>
      <c r="I54" s="75">
        <f t="shared" si="36"/>
        <v>0</v>
      </c>
      <c r="J54" s="75">
        <f t="shared" si="36"/>
        <v>0</v>
      </c>
      <c r="K54" s="75">
        <f t="shared" si="36"/>
        <v>0</v>
      </c>
      <c r="L54" s="75">
        <f t="shared" si="36"/>
        <v>0</v>
      </c>
      <c r="M54" s="75">
        <f t="shared" si="36"/>
        <v>0</v>
      </c>
      <c r="N54" s="75">
        <f t="shared" si="36"/>
        <v>0</v>
      </c>
      <c r="O54" s="75">
        <f t="shared" si="36"/>
        <v>0</v>
      </c>
      <c r="P54" s="75">
        <f t="shared" si="36"/>
        <v>0</v>
      </c>
      <c r="Q54" s="75">
        <f t="shared" si="36"/>
        <v>0</v>
      </c>
      <c r="R54" s="75">
        <f t="shared" si="36"/>
        <v>0</v>
      </c>
      <c r="S54" s="75">
        <f t="shared" si="36"/>
        <v>0</v>
      </c>
      <c r="T54" s="75">
        <f t="shared" si="36"/>
        <v>87.5</v>
      </c>
      <c r="U54" s="75">
        <f t="shared" si="36"/>
        <v>87.5</v>
      </c>
      <c r="V54" s="75">
        <f t="shared" si="36"/>
        <v>87.5</v>
      </c>
      <c r="W54" s="75">
        <f t="shared" si="36"/>
        <v>87.5</v>
      </c>
      <c r="X54" s="75">
        <f t="shared" si="36"/>
        <v>87.5</v>
      </c>
      <c r="Y54" s="75">
        <f t="shared" si="36"/>
        <v>87.5</v>
      </c>
      <c r="Z54" s="75">
        <f t="shared" si="36"/>
        <v>87.5</v>
      </c>
      <c r="AA54" s="75">
        <f t="shared" si="36"/>
        <v>87.5</v>
      </c>
      <c r="AB54" s="75">
        <f t="shared" si="36"/>
        <v>87.5</v>
      </c>
      <c r="AC54" s="75">
        <f t="shared" si="36"/>
        <v>87.5</v>
      </c>
      <c r="AD54" s="75">
        <f t="shared" si="36"/>
        <v>87.5</v>
      </c>
      <c r="AE54" s="75">
        <f t="shared" si="36"/>
        <v>87.5</v>
      </c>
      <c r="AF54" s="75">
        <f t="shared" si="36"/>
        <v>4.166666666666667</v>
      </c>
      <c r="AG54" s="75">
        <f t="shared" si="36"/>
        <v>4.166666666666667</v>
      </c>
      <c r="AH54" s="75">
        <f t="shared" si="36"/>
        <v>4.166666666666667</v>
      </c>
      <c r="AI54" s="75">
        <f t="shared" si="36"/>
        <v>4.166666666666667</v>
      </c>
      <c r="AJ54" s="75">
        <f t="shared" si="36"/>
        <v>4.166666666666667</v>
      </c>
      <c r="AK54" s="75">
        <f t="shared" si="36"/>
        <v>4.166666666666667</v>
      </c>
      <c r="AL54" s="75">
        <f t="shared" si="36"/>
        <v>4.166666666666667</v>
      </c>
      <c r="AM54" s="75">
        <f t="shared" si="36"/>
        <v>4.166666666666667</v>
      </c>
      <c r="AN54" s="75">
        <f t="shared" si="36"/>
        <v>4.166666666666667</v>
      </c>
      <c r="AO54" s="75">
        <f t="shared" si="36"/>
        <v>4.166666666666667</v>
      </c>
      <c r="AP54" s="75">
        <f t="shared" si="36"/>
        <v>4.166666666666667</v>
      </c>
      <c r="AQ54" s="75">
        <f t="shared" si="36"/>
        <v>4.166666666666667</v>
      </c>
      <c r="AR54" s="75">
        <f t="shared" si="36"/>
        <v>4.166666666666667</v>
      </c>
      <c r="AS54" s="75">
        <f t="shared" si="36"/>
        <v>4.166666666666667</v>
      </c>
      <c r="AT54" s="75">
        <f t="shared" si="36"/>
        <v>4.166666666666667</v>
      </c>
      <c r="AU54" s="75">
        <f t="shared" si="36"/>
        <v>4.166666666666667</v>
      </c>
      <c r="AV54" s="75">
        <f t="shared" si="36"/>
        <v>4.166666666666667</v>
      </c>
      <c r="AW54" s="75">
        <f t="shared" si="36"/>
        <v>4.166666666666667</v>
      </c>
      <c r="AX54" s="75">
        <f t="shared" si="36"/>
        <v>4.166666666666667</v>
      </c>
      <c r="AY54" s="75">
        <f t="shared" si="36"/>
        <v>4.166666666666667</v>
      </c>
      <c r="AZ54" s="75">
        <f t="shared" si="36"/>
        <v>4.166666666666667</v>
      </c>
      <c r="BA54" s="75">
        <f t="shared" si="36"/>
        <v>4.166666666666667</v>
      </c>
      <c r="BB54" s="75">
        <f t="shared" si="36"/>
        <v>4.166666666666667</v>
      </c>
      <c r="BC54" s="75">
        <f t="shared" si="36"/>
        <v>4.166666666666667</v>
      </c>
      <c r="BD54" s="61"/>
      <c r="BE54" s="75">
        <f t="shared" si="30"/>
        <v>0</v>
      </c>
      <c r="BF54" s="75">
        <f t="shared" si="31"/>
        <v>1050</v>
      </c>
      <c r="BG54" s="75">
        <f t="shared" si="31"/>
        <v>49.999999999999993</v>
      </c>
      <c r="BH54" s="75">
        <f t="shared" si="31"/>
        <v>49.999999999999993</v>
      </c>
    </row>
    <row r="55" spans="2:60" ht="21" customHeight="1" x14ac:dyDescent="0.3">
      <c r="B55" s="60" t="str">
        <f>$B$32</f>
        <v>Health Care Assistants</v>
      </c>
      <c r="C55" s="48">
        <f>IF(C$32="","",C$32)</f>
        <v>43922</v>
      </c>
      <c r="D55" s="48" t="str">
        <f>IF(D$32="","",D$32)</f>
        <v/>
      </c>
      <c r="E55" s="47">
        <f>IF(E$32="","",E$32)</f>
        <v>6</v>
      </c>
      <c r="F55" s="75">
        <f>HCA!C25</f>
        <v>0</v>
      </c>
      <c r="G55" s="75">
        <f>HCA!C17</f>
        <v>0</v>
      </c>
      <c r="H55" s="75">
        <f>IFERROR(MIN(1,MAX(0,(EOMONTH(H$4,0)+1-$C55)/(EDATE($C55,$E55)-$C55)))*$F55/12+IF(AND(H$4&gt;=EOMONTH($C55,0),H$4&lt;=EOMONTH($C55,11)),$G55/12,0),0)</f>
        <v>0</v>
      </c>
      <c r="I55" s="75">
        <f t="shared" si="36"/>
        <v>0</v>
      </c>
      <c r="J55" s="75">
        <f t="shared" si="36"/>
        <v>0</v>
      </c>
      <c r="K55" s="75">
        <f t="shared" si="36"/>
        <v>0</v>
      </c>
      <c r="L55" s="75">
        <f t="shared" si="36"/>
        <v>0</v>
      </c>
      <c r="M55" s="75">
        <f t="shared" si="36"/>
        <v>0</v>
      </c>
      <c r="N55" s="75">
        <f t="shared" si="36"/>
        <v>0</v>
      </c>
      <c r="O55" s="75">
        <f t="shared" si="36"/>
        <v>0</v>
      </c>
      <c r="P55" s="75">
        <f t="shared" si="36"/>
        <v>0</v>
      </c>
      <c r="Q55" s="75">
        <f t="shared" si="36"/>
        <v>0</v>
      </c>
      <c r="R55" s="75">
        <f t="shared" si="36"/>
        <v>0</v>
      </c>
      <c r="S55" s="75">
        <f t="shared" si="36"/>
        <v>0</v>
      </c>
      <c r="T55" s="75">
        <f t="shared" si="36"/>
        <v>0</v>
      </c>
      <c r="U55" s="75">
        <f t="shared" si="36"/>
        <v>0</v>
      </c>
      <c r="V55" s="75">
        <f t="shared" si="36"/>
        <v>0</v>
      </c>
      <c r="W55" s="75">
        <f t="shared" si="36"/>
        <v>0</v>
      </c>
      <c r="X55" s="75">
        <f t="shared" si="36"/>
        <v>0</v>
      </c>
      <c r="Y55" s="75">
        <f t="shared" si="36"/>
        <v>0</v>
      </c>
      <c r="Z55" s="75">
        <f t="shared" si="36"/>
        <v>0</v>
      </c>
      <c r="AA55" s="75">
        <f t="shared" si="36"/>
        <v>0</v>
      </c>
      <c r="AB55" s="75">
        <f t="shared" si="36"/>
        <v>0</v>
      </c>
      <c r="AC55" s="75">
        <f t="shared" si="36"/>
        <v>0</v>
      </c>
      <c r="AD55" s="75">
        <f t="shared" si="36"/>
        <v>0</v>
      </c>
      <c r="AE55" s="75">
        <f t="shared" si="36"/>
        <v>0</v>
      </c>
      <c r="AF55" s="75">
        <f t="shared" si="36"/>
        <v>0</v>
      </c>
      <c r="AG55" s="75">
        <f t="shared" si="36"/>
        <v>0</v>
      </c>
      <c r="AH55" s="75">
        <f t="shared" si="36"/>
        <v>0</v>
      </c>
      <c r="AI55" s="75">
        <f t="shared" si="36"/>
        <v>0</v>
      </c>
      <c r="AJ55" s="75">
        <f t="shared" si="36"/>
        <v>0</v>
      </c>
      <c r="AK55" s="75">
        <f t="shared" si="36"/>
        <v>0</v>
      </c>
      <c r="AL55" s="75">
        <f t="shared" si="36"/>
        <v>0</v>
      </c>
      <c r="AM55" s="75">
        <f t="shared" si="36"/>
        <v>0</v>
      </c>
      <c r="AN55" s="75">
        <f t="shared" si="36"/>
        <v>0</v>
      </c>
      <c r="AO55" s="75">
        <f t="shared" si="36"/>
        <v>0</v>
      </c>
      <c r="AP55" s="75">
        <f t="shared" si="36"/>
        <v>0</v>
      </c>
      <c r="AQ55" s="75">
        <f t="shared" si="36"/>
        <v>0</v>
      </c>
      <c r="AR55" s="75">
        <f t="shared" si="36"/>
        <v>0</v>
      </c>
      <c r="AS55" s="75">
        <f t="shared" si="36"/>
        <v>0</v>
      </c>
      <c r="AT55" s="75">
        <f t="shared" si="36"/>
        <v>0</v>
      </c>
      <c r="AU55" s="75">
        <f t="shared" si="36"/>
        <v>0</v>
      </c>
      <c r="AV55" s="75">
        <f t="shared" si="36"/>
        <v>0</v>
      </c>
      <c r="AW55" s="75">
        <f t="shared" si="36"/>
        <v>0</v>
      </c>
      <c r="AX55" s="75">
        <f t="shared" si="36"/>
        <v>0</v>
      </c>
      <c r="AY55" s="75">
        <f t="shared" si="36"/>
        <v>0</v>
      </c>
      <c r="AZ55" s="75">
        <f t="shared" si="36"/>
        <v>0</v>
      </c>
      <c r="BA55" s="75">
        <f t="shared" si="36"/>
        <v>0</v>
      </c>
      <c r="BB55" s="75">
        <f t="shared" si="36"/>
        <v>0</v>
      </c>
      <c r="BC55" s="75">
        <f t="shared" si="36"/>
        <v>0</v>
      </c>
      <c r="BD55" s="61"/>
      <c r="BE55" s="75">
        <f t="shared" si="30"/>
        <v>0</v>
      </c>
      <c r="BF55" s="75">
        <f t="shared" si="31"/>
        <v>0</v>
      </c>
      <c r="BG55" s="75">
        <f t="shared" si="31"/>
        <v>0</v>
      </c>
      <c r="BH55" s="75">
        <f t="shared" si="31"/>
        <v>0</v>
      </c>
    </row>
    <row r="56" spans="2:60" ht="21" customHeight="1" x14ac:dyDescent="0.3">
      <c r="B56" s="60" t="str">
        <f>$B$33</f>
        <v>Patient portals</v>
      </c>
      <c r="C56" s="48">
        <f>IF(C$33="","",C$33)</f>
        <v>43922</v>
      </c>
      <c r="D56" s="48" t="str">
        <f>IF(D$33="","",D$33)</f>
        <v/>
      </c>
      <c r="E56" s="47">
        <f>IF(E$33="","",E$33)</f>
        <v>36</v>
      </c>
      <c r="F56" s="75">
        <f>'Patient Portal'!C33</f>
        <v>0</v>
      </c>
      <c r="G56" s="75">
        <f>'Patient Portal'!C25</f>
        <v>0</v>
      </c>
      <c r="H56" s="75">
        <f>IFERROR(MIN(1,MAX(0,(EOMONTH(H$4,0)+1-$C56)/(EDATE($C56,$E56)-$C56)))*$F56/12+IF(AND(H$4&gt;=EOMONTH($C56,0),H$4&lt;=EOMONTH($C56,11)),$G56/12,0),0)</f>
        <v>0</v>
      </c>
      <c r="I56" s="75">
        <f t="shared" si="36"/>
        <v>0</v>
      </c>
      <c r="J56" s="75">
        <f t="shared" si="36"/>
        <v>0</v>
      </c>
      <c r="K56" s="75">
        <f t="shared" si="36"/>
        <v>0</v>
      </c>
      <c r="L56" s="75">
        <f t="shared" si="36"/>
        <v>0</v>
      </c>
      <c r="M56" s="75">
        <f t="shared" si="36"/>
        <v>0</v>
      </c>
      <c r="N56" s="75">
        <f t="shared" si="36"/>
        <v>0</v>
      </c>
      <c r="O56" s="75">
        <f t="shared" si="36"/>
        <v>0</v>
      </c>
      <c r="P56" s="75">
        <f t="shared" si="36"/>
        <v>0</v>
      </c>
      <c r="Q56" s="75">
        <f t="shared" si="36"/>
        <v>0</v>
      </c>
      <c r="R56" s="75">
        <f t="shared" si="36"/>
        <v>0</v>
      </c>
      <c r="S56" s="75">
        <f t="shared" si="36"/>
        <v>0</v>
      </c>
      <c r="T56" s="75">
        <f t="shared" si="36"/>
        <v>0</v>
      </c>
      <c r="U56" s="75">
        <f t="shared" si="36"/>
        <v>0</v>
      </c>
      <c r="V56" s="75">
        <f t="shared" si="36"/>
        <v>0</v>
      </c>
      <c r="W56" s="75">
        <f t="shared" si="36"/>
        <v>0</v>
      </c>
      <c r="X56" s="75">
        <f t="shared" si="36"/>
        <v>0</v>
      </c>
      <c r="Y56" s="75">
        <f t="shared" si="36"/>
        <v>0</v>
      </c>
      <c r="Z56" s="75">
        <f t="shared" si="36"/>
        <v>0</v>
      </c>
      <c r="AA56" s="75">
        <f t="shared" si="36"/>
        <v>0</v>
      </c>
      <c r="AB56" s="75">
        <f t="shared" si="36"/>
        <v>0</v>
      </c>
      <c r="AC56" s="75">
        <f t="shared" si="36"/>
        <v>0</v>
      </c>
      <c r="AD56" s="75">
        <f t="shared" si="36"/>
        <v>0</v>
      </c>
      <c r="AE56" s="75">
        <f t="shared" si="36"/>
        <v>0</v>
      </c>
      <c r="AF56" s="75">
        <f t="shared" si="36"/>
        <v>0</v>
      </c>
      <c r="AG56" s="75">
        <f t="shared" si="36"/>
        <v>0</v>
      </c>
      <c r="AH56" s="75">
        <f t="shared" si="36"/>
        <v>0</v>
      </c>
      <c r="AI56" s="75">
        <f t="shared" si="36"/>
        <v>0</v>
      </c>
      <c r="AJ56" s="75">
        <f t="shared" si="36"/>
        <v>0</v>
      </c>
      <c r="AK56" s="75">
        <f t="shared" si="36"/>
        <v>0</v>
      </c>
      <c r="AL56" s="75">
        <f t="shared" si="36"/>
        <v>0</v>
      </c>
      <c r="AM56" s="75">
        <f t="shared" si="36"/>
        <v>0</v>
      </c>
      <c r="AN56" s="75">
        <f t="shared" si="36"/>
        <v>0</v>
      </c>
      <c r="AO56" s="75">
        <f t="shared" si="36"/>
        <v>0</v>
      </c>
      <c r="AP56" s="75">
        <f t="shared" si="36"/>
        <v>0</v>
      </c>
      <c r="AQ56" s="75">
        <f t="shared" si="36"/>
        <v>0</v>
      </c>
      <c r="AR56" s="75">
        <f t="shared" si="36"/>
        <v>0</v>
      </c>
      <c r="AS56" s="75">
        <f t="shared" si="36"/>
        <v>0</v>
      </c>
      <c r="AT56" s="75">
        <f t="shared" si="36"/>
        <v>0</v>
      </c>
      <c r="AU56" s="75">
        <f t="shared" si="36"/>
        <v>0</v>
      </c>
      <c r="AV56" s="75">
        <f t="shared" si="36"/>
        <v>0</v>
      </c>
      <c r="AW56" s="75">
        <f t="shared" si="36"/>
        <v>0</v>
      </c>
      <c r="AX56" s="75">
        <f t="shared" si="36"/>
        <v>0</v>
      </c>
      <c r="AY56" s="75">
        <f t="shared" si="36"/>
        <v>0</v>
      </c>
      <c r="AZ56" s="75">
        <f t="shared" si="36"/>
        <v>0</v>
      </c>
      <c r="BA56" s="75">
        <f t="shared" si="36"/>
        <v>0</v>
      </c>
      <c r="BB56" s="75">
        <f t="shared" si="36"/>
        <v>0</v>
      </c>
      <c r="BC56" s="75">
        <f t="shared" si="36"/>
        <v>0</v>
      </c>
      <c r="BD56" s="61"/>
      <c r="BE56" s="75">
        <f t="shared" si="30"/>
        <v>0</v>
      </c>
      <c r="BF56" s="75">
        <f t="shared" si="31"/>
        <v>0</v>
      </c>
      <c r="BG56" s="75">
        <f t="shared" si="31"/>
        <v>0</v>
      </c>
      <c r="BH56" s="75">
        <f t="shared" si="31"/>
        <v>0</v>
      </c>
    </row>
    <row r="57" spans="2:60" ht="21" customHeight="1" x14ac:dyDescent="0.3">
      <c r="B57" s="60" t="str">
        <f>$B$34</f>
        <v>Other (staff release for training and implementation activity)</v>
      </c>
      <c r="C57" s="48">
        <f>IF(C$34="","",C$34)</f>
        <v>43922</v>
      </c>
      <c r="D57" s="48">
        <f>IF(D$34="","",D$34)</f>
        <v>44651</v>
      </c>
      <c r="E57" s="47">
        <f>IF(E$34="","",E$34)</f>
        <v>1</v>
      </c>
      <c r="F57" s="75">
        <f>Other!H19</f>
        <v>0</v>
      </c>
      <c r="G57" s="75">
        <f>Other!H11</f>
        <v>0</v>
      </c>
      <c r="H57" s="75">
        <f>IFERROR(MIN(1,MAX(0,(EOMONTH(H$4,0)+1-$C57)/(EDATE($C57,$E57)-$C57)))*$F57/12+IF(AND(H$4&gt;=EOMONTH($C57,0),H$4&lt;=EOMONTH($C57,11)),$G57/12,0),0)</f>
        <v>0</v>
      </c>
      <c r="I57" s="75">
        <f t="shared" si="36"/>
        <v>0</v>
      </c>
      <c r="J57" s="75">
        <f t="shared" si="36"/>
        <v>0</v>
      </c>
      <c r="K57" s="75">
        <f t="shared" si="36"/>
        <v>0</v>
      </c>
      <c r="L57" s="75">
        <f t="shared" si="36"/>
        <v>0</v>
      </c>
      <c r="M57" s="75">
        <f t="shared" si="36"/>
        <v>0</v>
      </c>
      <c r="N57" s="75">
        <f t="shared" si="36"/>
        <v>0</v>
      </c>
      <c r="O57" s="75">
        <f t="shared" si="36"/>
        <v>0</v>
      </c>
      <c r="P57" s="75">
        <f t="shared" si="36"/>
        <v>0</v>
      </c>
      <c r="Q57" s="75">
        <f t="shared" si="36"/>
        <v>0</v>
      </c>
      <c r="R57" s="75">
        <f t="shared" si="36"/>
        <v>0</v>
      </c>
      <c r="S57" s="75">
        <f t="shared" si="36"/>
        <v>0</v>
      </c>
      <c r="T57" s="75">
        <f t="shared" si="36"/>
        <v>0</v>
      </c>
      <c r="U57" s="75">
        <f t="shared" si="36"/>
        <v>0</v>
      </c>
      <c r="V57" s="75">
        <f t="shared" si="36"/>
        <v>0</v>
      </c>
      <c r="W57" s="75">
        <f t="shared" si="36"/>
        <v>0</v>
      </c>
      <c r="X57" s="75">
        <f t="shared" si="36"/>
        <v>0</v>
      </c>
      <c r="Y57" s="75">
        <f t="shared" si="36"/>
        <v>0</v>
      </c>
      <c r="Z57" s="75">
        <f t="shared" si="36"/>
        <v>0</v>
      </c>
      <c r="AA57" s="75">
        <f t="shared" si="36"/>
        <v>0</v>
      </c>
      <c r="AB57" s="75">
        <f t="shared" si="36"/>
        <v>0</v>
      </c>
      <c r="AC57" s="75">
        <f t="shared" si="36"/>
        <v>0</v>
      </c>
      <c r="AD57" s="75">
        <f t="shared" si="36"/>
        <v>0</v>
      </c>
      <c r="AE57" s="75">
        <f t="shared" si="36"/>
        <v>0</v>
      </c>
      <c r="AF57" s="75">
        <f t="shared" si="36"/>
        <v>0</v>
      </c>
      <c r="AG57" s="75">
        <f t="shared" si="36"/>
        <v>0</v>
      </c>
      <c r="AH57" s="75">
        <f t="shared" si="36"/>
        <v>0</v>
      </c>
      <c r="AI57" s="75">
        <f t="shared" si="36"/>
        <v>0</v>
      </c>
      <c r="AJ57" s="75">
        <f t="shared" si="36"/>
        <v>0</v>
      </c>
      <c r="AK57" s="75">
        <f t="shared" si="36"/>
        <v>0</v>
      </c>
      <c r="AL57" s="75">
        <f t="shared" si="36"/>
        <v>0</v>
      </c>
      <c r="AM57" s="75">
        <f t="shared" si="36"/>
        <v>0</v>
      </c>
      <c r="AN57" s="75">
        <f t="shared" si="36"/>
        <v>0</v>
      </c>
      <c r="AO57" s="75">
        <f t="shared" si="36"/>
        <v>0</v>
      </c>
      <c r="AP57" s="75">
        <f t="shared" si="36"/>
        <v>0</v>
      </c>
      <c r="AQ57" s="75">
        <f t="shared" si="36"/>
        <v>0</v>
      </c>
      <c r="AR57" s="75">
        <f t="shared" si="36"/>
        <v>0</v>
      </c>
      <c r="AS57" s="75">
        <f t="shared" si="36"/>
        <v>0</v>
      </c>
      <c r="AT57" s="75">
        <f t="shared" si="36"/>
        <v>0</v>
      </c>
      <c r="AU57" s="75">
        <f t="shared" si="36"/>
        <v>0</v>
      </c>
      <c r="AV57" s="75">
        <f t="shared" si="36"/>
        <v>0</v>
      </c>
      <c r="AW57" s="75">
        <f t="shared" si="36"/>
        <v>0</v>
      </c>
      <c r="AX57" s="75">
        <f t="shared" si="36"/>
        <v>0</v>
      </c>
      <c r="AY57" s="75">
        <f t="shared" si="36"/>
        <v>0</v>
      </c>
      <c r="AZ57" s="75">
        <f t="shared" si="36"/>
        <v>0</v>
      </c>
      <c r="BA57" s="75">
        <f t="shared" si="36"/>
        <v>0</v>
      </c>
      <c r="BB57" s="75">
        <f t="shared" si="36"/>
        <v>0</v>
      </c>
      <c r="BC57" s="75">
        <f t="shared" si="36"/>
        <v>0</v>
      </c>
      <c r="BD57" s="61"/>
      <c r="BE57" s="75">
        <f t="shared" si="30"/>
        <v>0</v>
      </c>
      <c r="BF57" s="75">
        <f>SUMIF($H$3:$BD$3,BF$3,$H57:$BD57)</f>
        <v>0</v>
      </c>
      <c r="BG57" s="75">
        <f>SUMIF($H$3:$BD$3,BG$3,$H57:$BD57)</f>
        <v>0</v>
      </c>
      <c r="BH57" s="75">
        <f>SUMIF($H$3:$BD$3,BH$3,$H57:$BD57)</f>
        <v>0</v>
      </c>
    </row>
    <row r="58" spans="2:60" ht="21" customHeight="1" x14ac:dyDescent="0.3">
      <c r="C58" s="51"/>
      <c r="D58" s="51"/>
      <c r="E58" s="52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E58" s="61"/>
      <c r="BF58" s="61"/>
      <c r="BG58" s="61"/>
    </row>
    <row r="59" spans="2:60" ht="21" customHeight="1" x14ac:dyDescent="0.3">
      <c r="B59" s="60" t="s">
        <v>135</v>
      </c>
      <c r="C59" s="51"/>
      <c r="D59" s="51"/>
      <c r="E59" s="52"/>
      <c r="H59" s="75">
        <f>SUM(H42:H58)</f>
        <v>0</v>
      </c>
      <c r="I59" s="75">
        <f>SUM(I42:I58)</f>
        <v>0</v>
      </c>
      <c r="J59" s="75">
        <f>SUM(J42:J58)</f>
        <v>0</v>
      </c>
      <c r="K59" s="75">
        <f>SUM(K42:K58)</f>
        <v>0</v>
      </c>
      <c r="L59" s="75">
        <f>SUM(L42:L58)</f>
        <v>0</v>
      </c>
      <c r="M59" s="75">
        <f>SUM(M42:M58)</f>
        <v>0</v>
      </c>
      <c r="N59" s="75">
        <f>SUM(N42:N58)</f>
        <v>0</v>
      </c>
      <c r="O59" s="75">
        <f>SUM(O42:O58)</f>
        <v>0</v>
      </c>
      <c r="P59" s="75">
        <f>SUM(P42:P58)</f>
        <v>0</v>
      </c>
      <c r="Q59" s="75">
        <f>SUM(Q42:Q58)</f>
        <v>0</v>
      </c>
      <c r="R59" s="75">
        <f>SUM(R42:R58)</f>
        <v>0</v>
      </c>
      <c r="S59" s="75">
        <f>SUM(S42:S58)</f>
        <v>0</v>
      </c>
      <c r="T59" s="75">
        <f>SUM(T42:T58)</f>
        <v>464.05295047418338</v>
      </c>
      <c r="U59" s="75">
        <f>SUM(U42:U58)</f>
        <v>474.10317878468561</v>
      </c>
      <c r="V59" s="75">
        <f>SUM(V42:V58)</f>
        <v>483.82920618194589</v>
      </c>
      <c r="W59" s="75">
        <f>SUM(W42:W58)</f>
        <v>493.87943449244818</v>
      </c>
      <c r="X59" s="75">
        <f>SUM(X42:X58)</f>
        <v>503.92966280295047</v>
      </c>
      <c r="Y59" s="75">
        <f>SUM(Y42:Y58)</f>
        <v>513.65569020021076</v>
      </c>
      <c r="Z59" s="75">
        <f>SUM(Z42:Z58)</f>
        <v>523.70591851071299</v>
      </c>
      <c r="AA59" s="75">
        <f>SUM(AA42:AA58)</f>
        <v>533.43194590797327</v>
      </c>
      <c r="AB59" s="75">
        <f>SUM(AB42:AB58)</f>
        <v>543.48217421847562</v>
      </c>
      <c r="AC59" s="75">
        <f>SUM(AC42:AC58)</f>
        <v>553.53240252897785</v>
      </c>
      <c r="AD59" s="75">
        <f>SUM(AD42:AD58)</f>
        <v>562.61002809975412</v>
      </c>
      <c r="AE59" s="75">
        <f>SUM(AE42:AE58)</f>
        <v>572.66025641025635</v>
      </c>
      <c r="AF59" s="75">
        <f>SUM(AF42:AF58)</f>
        <v>332.38628380751669</v>
      </c>
      <c r="AG59" s="75">
        <f>SUM(AG42:AG58)</f>
        <v>342.43651211801898</v>
      </c>
      <c r="AH59" s="75">
        <f>SUM(AH42:AH58)</f>
        <v>352.16253951527926</v>
      </c>
      <c r="AI59" s="75">
        <f>SUM(AI42:AI58)</f>
        <v>362.21276782578155</v>
      </c>
      <c r="AJ59" s="75">
        <f>SUM(AJ42:AJ58)</f>
        <v>372.26299613628379</v>
      </c>
      <c r="AK59" s="75">
        <f>SUM(AK42:AK58)</f>
        <v>381.98902353354407</v>
      </c>
      <c r="AL59" s="75">
        <f>SUM(AL42:AL58)</f>
        <v>392.03925184404642</v>
      </c>
      <c r="AM59" s="75">
        <f>SUM(AM42:AM58)</f>
        <v>401.7652792413067</v>
      </c>
      <c r="AN59" s="75">
        <f>SUM(AN42:AN58)</f>
        <v>411.81550755180893</v>
      </c>
      <c r="AO59" s="75">
        <f>SUM(AO42:AO58)</f>
        <v>421.86573586231123</v>
      </c>
      <c r="AP59" s="75">
        <f>SUM(AP42:AP58)</f>
        <v>430.94336143308749</v>
      </c>
      <c r="AQ59" s="75">
        <f>SUM(AQ42:AQ58)</f>
        <v>440.99358974358978</v>
      </c>
      <c r="AR59" s="75">
        <f>SUM(AR42:AR58)</f>
        <v>450.71961714085</v>
      </c>
      <c r="AS59" s="75">
        <f>SUM(AS42:AS58)</f>
        <v>460.7698454513523</v>
      </c>
      <c r="AT59" s="75">
        <f>SUM(AT42:AT58)</f>
        <v>470.49587284861258</v>
      </c>
      <c r="AU59" s="75">
        <f>SUM(AU42:AU58)</f>
        <v>480.54610115911487</v>
      </c>
      <c r="AV59" s="75">
        <f>SUM(AV42:AV58)</f>
        <v>490.59632946961716</v>
      </c>
      <c r="AW59" s="75">
        <f>SUM(AW42:AW58)</f>
        <v>500.32235686687744</v>
      </c>
      <c r="AX59" s="75">
        <f>SUM(AX42:AX58)</f>
        <v>510.37258517737968</v>
      </c>
      <c r="AY59" s="75">
        <f>SUM(AY42:AY58)</f>
        <v>520.0986125746399</v>
      </c>
      <c r="AZ59" s="75">
        <f>SUM(AZ42:AZ58)</f>
        <v>530.14884088514225</v>
      </c>
      <c r="BA59" s="75">
        <f>SUM(BA42:BA58)</f>
        <v>540.19906919564448</v>
      </c>
      <c r="BB59" s="75">
        <f>SUM(BB42:BB58)</f>
        <v>549.27669476642075</v>
      </c>
      <c r="BC59" s="75">
        <f>SUM(BC42:BC58)</f>
        <v>559.32692307692298</v>
      </c>
      <c r="BE59" s="75">
        <f>SUM(BE42:BE58)</f>
        <v>0</v>
      </c>
      <c r="BF59" s="75">
        <f>SUM(BF42:BF58)</f>
        <v>6222.8728486125747</v>
      </c>
      <c r="BG59" s="75">
        <f>SUM(BG42:BG58)</f>
        <v>4642.8728486125747</v>
      </c>
      <c r="BH59" s="75">
        <f>SUM(BH42:BH58)</f>
        <v>6062.8728486125747</v>
      </c>
    </row>
    <row r="60" spans="2:60" ht="21" customHeight="1" x14ac:dyDescent="0.3">
      <c r="B60" s="62"/>
      <c r="C60" s="62"/>
      <c r="D60" s="62"/>
      <c r="E60" s="62"/>
    </row>
    <row r="61" spans="2:60" s="74" customFormat="1" ht="21" customHeight="1" x14ac:dyDescent="0.3">
      <c r="B61" s="58" t="s">
        <v>70</v>
      </c>
      <c r="C61" s="73"/>
      <c r="D61" s="73"/>
      <c r="E61" s="73"/>
      <c r="H61" s="75">
        <f>H39-H59</f>
        <v>0</v>
      </c>
      <c r="I61" s="75">
        <f>I39-I59</f>
        <v>0</v>
      </c>
      <c r="J61" s="75">
        <f>J39-J59</f>
        <v>0</v>
      </c>
      <c r="K61" s="75">
        <f>K39-K59</f>
        <v>0</v>
      </c>
      <c r="L61" s="75">
        <f>L39-L59</f>
        <v>0</v>
      </c>
      <c r="M61" s="75">
        <f>M39-M59</f>
        <v>0</v>
      </c>
      <c r="N61" s="75">
        <f>N39-N59</f>
        <v>0</v>
      </c>
      <c r="O61" s="75">
        <f>O39-O59</f>
        <v>0</v>
      </c>
      <c r="P61" s="75">
        <f>P39-P59</f>
        <v>0</v>
      </c>
      <c r="Q61" s="75">
        <f>Q39-Q59</f>
        <v>0</v>
      </c>
      <c r="R61" s="75">
        <f>R39-R59</f>
        <v>0</v>
      </c>
      <c r="S61" s="75">
        <f>S39-S59</f>
        <v>21293.326086956524</v>
      </c>
      <c r="T61" s="75">
        <f>T39-T59</f>
        <v>-17156.241593662133</v>
      </c>
      <c r="U61" s="75">
        <f>U39-U59</f>
        <v>-17001.283709788586</v>
      </c>
      <c r="V61" s="75">
        <f>V39-V59</f>
        <v>-5266.5962064607538</v>
      </c>
      <c r="W61" s="75">
        <f>W39-W59</f>
        <v>-5111.6383225872114</v>
      </c>
      <c r="X61" s="75">
        <f>X39-X59</f>
        <v>-4956.6804387136681</v>
      </c>
      <c r="Y61" s="75">
        <f>Y39-Y59</f>
        <v>-4806.7211962554011</v>
      </c>
      <c r="Z61" s="75">
        <f>Z39-Z59</f>
        <v>-4729.6868096496164</v>
      </c>
      <c r="AA61" s="75">
        <f>AA39-AA59</f>
        <v>-4655.137403256922</v>
      </c>
      <c r="AB61" s="75">
        <f>AB39-AB59</f>
        <v>-3314.0809466359196</v>
      </c>
      <c r="AC61" s="75">
        <f>AC39-AC59</f>
        <v>-3250.965890319329</v>
      </c>
      <c r="AD61" s="75">
        <f>AD39-AD59</f>
        <v>-3193.9587426785374</v>
      </c>
      <c r="AE61" s="75">
        <f>AE39-AE59</f>
        <v>-3130.8436863619472</v>
      </c>
      <c r="AF61" s="75">
        <f>AF39-AF59</f>
        <v>-2948.7600333939099</v>
      </c>
      <c r="AG61" s="75">
        <f>AG39-AG59</f>
        <v>-3018.9402586602728</v>
      </c>
      <c r="AH61" s="75">
        <f>AH39-AH59</f>
        <v>-3086.8566056922359</v>
      </c>
      <c r="AI61" s="75">
        <f>AI39-AI59</f>
        <v>-3157.0368309585983</v>
      </c>
      <c r="AJ61" s="75">
        <f>AJ39-AJ59</f>
        <v>-3227.2170562249607</v>
      </c>
      <c r="AK61" s="75">
        <f>AK39-AK59</f>
        <v>-3295.1334032569243</v>
      </c>
      <c r="AL61" s="75">
        <f>AL39-AL59</f>
        <v>-3365.3136285232863</v>
      </c>
      <c r="AM61" s="75">
        <f>AM39-AM59</f>
        <v>-3433.2299755552503</v>
      </c>
      <c r="AN61" s="75">
        <f>AN39-AN59</f>
        <v>-3503.4102008216123</v>
      </c>
      <c r="AO61" s="75">
        <f>AO39-AO59</f>
        <v>-3573.5904260879747</v>
      </c>
      <c r="AP61" s="75">
        <f>AP39-AP59</f>
        <v>-3636.9790166511402</v>
      </c>
      <c r="AQ61" s="75">
        <f>AQ39-AQ59</f>
        <v>-3707.1592419175031</v>
      </c>
      <c r="AR61" s="75">
        <f>AR39-AR59</f>
        <v>-3775.0755889494662</v>
      </c>
      <c r="AS61" s="75">
        <f>AS39-AS59</f>
        <v>-3845.2558142158282</v>
      </c>
      <c r="AT61" s="75">
        <f>AT39-AT59</f>
        <v>-3913.1721612477922</v>
      </c>
      <c r="AU61" s="75">
        <f>AU39-AU59</f>
        <v>-3983.3523865141542</v>
      </c>
      <c r="AV61" s="75">
        <f>AV39-AV59</f>
        <v>-4053.5326117805166</v>
      </c>
      <c r="AW61" s="75">
        <f>AW39-AW59</f>
        <v>-4121.4489588124807</v>
      </c>
      <c r="AX61" s="75">
        <f>AX39-AX59</f>
        <v>-4191.6291840788417</v>
      </c>
      <c r="AY61" s="75">
        <f>AY39-AY59</f>
        <v>-4259.5455311108053</v>
      </c>
      <c r="AZ61" s="75">
        <f>AZ39-AZ59</f>
        <v>-4329.7257563771673</v>
      </c>
      <c r="BA61" s="75">
        <f>BA39-BA59</f>
        <v>-4399.9059816435301</v>
      </c>
      <c r="BB61" s="75">
        <f>BB39-BB59</f>
        <v>-4463.2945722066961</v>
      </c>
      <c r="BC61" s="75">
        <f>BC39-BC59</f>
        <v>-4533.4747974730581</v>
      </c>
      <c r="BE61" s="75">
        <f>BE39-BE59</f>
        <v>21293.326086956524</v>
      </c>
      <c r="BF61" s="75">
        <f>BF39-BF59</f>
        <v>-76573.834946370029</v>
      </c>
      <c r="BG61" s="75">
        <f>BG39-BG59</f>
        <v>-39953.626677743669</v>
      </c>
      <c r="BH61" s="75">
        <f>BH39-BH59</f>
        <v>-49869.413344410343</v>
      </c>
    </row>
    <row r="63" spans="2:60" ht="21" customHeight="1" x14ac:dyDescent="0.3">
      <c r="B63" s="58" t="s">
        <v>73</v>
      </c>
      <c r="C63" s="53" t="s">
        <v>37</v>
      </c>
      <c r="D63" s="53" t="s">
        <v>115</v>
      </c>
      <c r="E63" s="53" t="s">
        <v>38</v>
      </c>
      <c r="F63" s="53" t="s">
        <v>19</v>
      </c>
      <c r="G63" s="53" t="s">
        <v>215</v>
      </c>
      <c r="H63" s="59">
        <f>H$4</f>
        <v>43585</v>
      </c>
      <c r="I63" s="59">
        <f t="shared" ref="I63:BC63" si="37">I$4</f>
        <v>43616</v>
      </c>
      <c r="J63" s="59">
        <f t="shared" si="37"/>
        <v>43646</v>
      </c>
      <c r="K63" s="59">
        <f t="shared" si="37"/>
        <v>43677</v>
      </c>
      <c r="L63" s="59">
        <f t="shared" si="37"/>
        <v>43708</v>
      </c>
      <c r="M63" s="59">
        <f t="shared" si="37"/>
        <v>43738</v>
      </c>
      <c r="N63" s="59">
        <f t="shared" si="37"/>
        <v>43769</v>
      </c>
      <c r="O63" s="59">
        <f t="shared" si="37"/>
        <v>43799</v>
      </c>
      <c r="P63" s="59">
        <f t="shared" si="37"/>
        <v>43830</v>
      </c>
      <c r="Q63" s="59">
        <f t="shared" si="37"/>
        <v>43861</v>
      </c>
      <c r="R63" s="59">
        <f t="shared" si="37"/>
        <v>43890</v>
      </c>
      <c r="S63" s="59">
        <f t="shared" si="37"/>
        <v>43921</v>
      </c>
      <c r="T63" s="59">
        <f t="shared" si="37"/>
        <v>43951</v>
      </c>
      <c r="U63" s="59">
        <f t="shared" si="37"/>
        <v>43982</v>
      </c>
      <c r="V63" s="59">
        <f t="shared" si="37"/>
        <v>44012</v>
      </c>
      <c r="W63" s="59">
        <f t="shared" si="37"/>
        <v>44043</v>
      </c>
      <c r="X63" s="59">
        <f t="shared" si="37"/>
        <v>44074</v>
      </c>
      <c r="Y63" s="59">
        <f t="shared" si="37"/>
        <v>44104</v>
      </c>
      <c r="Z63" s="59">
        <f t="shared" si="37"/>
        <v>44135</v>
      </c>
      <c r="AA63" s="59">
        <f t="shared" si="37"/>
        <v>44165</v>
      </c>
      <c r="AB63" s="59">
        <f t="shared" si="37"/>
        <v>44196</v>
      </c>
      <c r="AC63" s="59">
        <f t="shared" si="37"/>
        <v>44227</v>
      </c>
      <c r="AD63" s="59">
        <f t="shared" si="37"/>
        <v>44255</v>
      </c>
      <c r="AE63" s="59">
        <f t="shared" si="37"/>
        <v>44286</v>
      </c>
      <c r="AF63" s="59">
        <f t="shared" si="37"/>
        <v>44316</v>
      </c>
      <c r="AG63" s="59">
        <f t="shared" si="37"/>
        <v>44347</v>
      </c>
      <c r="AH63" s="59">
        <f t="shared" si="37"/>
        <v>44377</v>
      </c>
      <c r="AI63" s="59">
        <f t="shared" si="37"/>
        <v>44408</v>
      </c>
      <c r="AJ63" s="59">
        <f t="shared" si="37"/>
        <v>44439</v>
      </c>
      <c r="AK63" s="59">
        <f t="shared" si="37"/>
        <v>44469</v>
      </c>
      <c r="AL63" s="59">
        <f t="shared" si="37"/>
        <v>44500</v>
      </c>
      <c r="AM63" s="59">
        <f t="shared" si="37"/>
        <v>44530</v>
      </c>
      <c r="AN63" s="59">
        <f t="shared" si="37"/>
        <v>44561</v>
      </c>
      <c r="AO63" s="59">
        <f t="shared" si="37"/>
        <v>44592</v>
      </c>
      <c r="AP63" s="59">
        <f t="shared" si="37"/>
        <v>44620</v>
      </c>
      <c r="AQ63" s="59">
        <f t="shared" si="37"/>
        <v>44651</v>
      </c>
      <c r="AR63" s="59">
        <f t="shared" si="37"/>
        <v>44681</v>
      </c>
      <c r="AS63" s="59">
        <f t="shared" si="37"/>
        <v>44712</v>
      </c>
      <c r="AT63" s="59">
        <f t="shared" si="37"/>
        <v>44742</v>
      </c>
      <c r="AU63" s="59">
        <f t="shared" si="37"/>
        <v>44773</v>
      </c>
      <c r="AV63" s="59">
        <f t="shared" si="37"/>
        <v>44804</v>
      </c>
      <c r="AW63" s="59">
        <f t="shared" si="37"/>
        <v>44834</v>
      </c>
      <c r="AX63" s="59">
        <f t="shared" si="37"/>
        <v>44865</v>
      </c>
      <c r="AY63" s="59">
        <f t="shared" si="37"/>
        <v>44895</v>
      </c>
      <c r="AZ63" s="59">
        <f t="shared" si="37"/>
        <v>44926</v>
      </c>
      <c r="BA63" s="59">
        <f t="shared" si="37"/>
        <v>44957</v>
      </c>
      <c r="BB63" s="59">
        <f t="shared" si="37"/>
        <v>44985</v>
      </c>
      <c r="BC63" s="59">
        <f t="shared" si="37"/>
        <v>45016</v>
      </c>
      <c r="BE63" s="71">
        <f>BE$3</f>
        <v>1</v>
      </c>
      <c r="BF63" s="71">
        <f>BF$3</f>
        <v>2</v>
      </c>
      <c r="BG63" s="71">
        <f>BG$3</f>
        <v>3</v>
      </c>
      <c r="BH63" s="71">
        <f>BH$3</f>
        <v>4</v>
      </c>
    </row>
    <row r="64" spans="2:60" ht="21" customHeight="1" x14ac:dyDescent="0.3">
      <c r="B64" s="60" t="str">
        <f>$B$19</f>
        <v>Covid-19 Disruption - first period</v>
      </c>
      <c r="C64" s="48">
        <f>IF(C$19="","",C$19)</f>
        <v>43891</v>
      </c>
      <c r="D64" s="48">
        <f>IF(D$19="","",D$19)</f>
        <v>43982</v>
      </c>
      <c r="E64" s="47">
        <f>IF(E$19="","",E$19)</f>
        <v>1</v>
      </c>
      <c r="F64" s="79" t="str">
        <f>IF(OR('Covid 19'!$C$3="No",'Covid 19'!$C$4="No"),"",'Covid 19'!C59*12)</f>
        <v/>
      </c>
      <c r="G64" s="75"/>
      <c r="H64" s="249">
        <f t="shared" ref="H64:BC65" si="38">IF(H$4&gt;$D64,0,IFERROR(MIN(1,MAX(0,(EOMONTH(H$4,0)+1-$C64)/(EDATE($C64,$E64)-$C64)))*$F64/12+IF(H$3=1,$G64/12,0),0))</f>
        <v>0</v>
      </c>
      <c r="I64" s="249">
        <f t="shared" si="38"/>
        <v>0</v>
      </c>
      <c r="J64" s="249">
        <f t="shared" si="38"/>
        <v>0</v>
      </c>
      <c r="K64" s="249">
        <f t="shared" si="38"/>
        <v>0</v>
      </c>
      <c r="L64" s="249">
        <f t="shared" si="38"/>
        <v>0</v>
      </c>
      <c r="M64" s="249">
        <f t="shared" si="38"/>
        <v>0</v>
      </c>
      <c r="N64" s="249">
        <f t="shared" si="38"/>
        <v>0</v>
      </c>
      <c r="O64" s="249">
        <f t="shared" si="38"/>
        <v>0</v>
      </c>
      <c r="P64" s="249">
        <f t="shared" si="38"/>
        <v>0</v>
      </c>
      <c r="Q64" s="249">
        <f t="shared" si="38"/>
        <v>0</v>
      </c>
      <c r="R64" s="249">
        <f t="shared" si="38"/>
        <v>0</v>
      </c>
      <c r="S64" s="249">
        <f t="shared" si="38"/>
        <v>0</v>
      </c>
      <c r="T64" s="249">
        <f t="shared" si="38"/>
        <v>0</v>
      </c>
      <c r="U64" s="249">
        <f t="shared" si="38"/>
        <v>0</v>
      </c>
      <c r="V64" s="249">
        <f t="shared" si="38"/>
        <v>0</v>
      </c>
      <c r="W64" s="249">
        <f t="shared" si="38"/>
        <v>0</v>
      </c>
      <c r="X64" s="249">
        <f t="shared" si="38"/>
        <v>0</v>
      </c>
      <c r="Y64" s="249">
        <f t="shared" si="38"/>
        <v>0</v>
      </c>
      <c r="Z64" s="249">
        <f t="shared" si="38"/>
        <v>0</v>
      </c>
      <c r="AA64" s="249">
        <f t="shared" si="38"/>
        <v>0</v>
      </c>
      <c r="AB64" s="249">
        <f t="shared" si="38"/>
        <v>0</v>
      </c>
      <c r="AC64" s="249">
        <f t="shared" si="38"/>
        <v>0</v>
      </c>
      <c r="AD64" s="249">
        <f t="shared" si="38"/>
        <v>0</v>
      </c>
      <c r="AE64" s="249">
        <f t="shared" si="38"/>
        <v>0</v>
      </c>
      <c r="AF64" s="249">
        <f t="shared" si="38"/>
        <v>0</v>
      </c>
      <c r="AG64" s="249">
        <f t="shared" si="38"/>
        <v>0</v>
      </c>
      <c r="AH64" s="249">
        <f t="shared" si="38"/>
        <v>0</v>
      </c>
      <c r="AI64" s="249">
        <f t="shared" si="38"/>
        <v>0</v>
      </c>
      <c r="AJ64" s="249">
        <f t="shared" si="38"/>
        <v>0</v>
      </c>
      <c r="AK64" s="249">
        <f t="shared" si="38"/>
        <v>0</v>
      </c>
      <c r="AL64" s="249">
        <f t="shared" si="38"/>
        <v>0</v>
      </c>
      <c r="AM64" s="249">
        <f t="shared" si="38"/>
        <v>0</v>
      </c>
      <c r="AN64" s="249">
        <f t="shared" si="38"/>
        <v>0</v>
      </c>
      <c r="AO64" s="249">
        <f t="shared" si="38"/>
        <v>0</v>
      </c>
      <c r="AP64" s="249">
        <f t="shared" si="38"/>
        <v>0</v>
      </c>
      <c r="AQ64" s="249">
        <f t="shared" si="38"/>
        <v>0</v>
      </c>
      <c r="AR64" s="249">
        <f t="shared" si="38"/>
        <v>0</v>
      </c>
      <c r="AS64" s="249">
        <f t="shared" si="38"/>
        <v>0</v>
      </c>
      <c r="AT64" s="249">
        <f t="shared" si="38"/>
        <v>0</v>
      </c>
      <c r="AU64" s="249">
        <f t="shared" si="38"/>
        <v>0</v>
      </c>
      <c r="AV64" s="249">
        <f t="shared" si="38"/>
        <v>0</v>
      </c>
      <c r="AW64" s="249">
        <f t="shared" si="38"/>
        <v>0</v>
      </c>
      <c r="AX64" s="249">
        <f t="shared" si="38"/>
        <v>0</v>
      </c>
      <c r="AY64" s="249">
        <f t="shared" si="38"/>
        <v>0</v>
      </c>
      <c r="AZ64" s="249">
        <f t="shared" si="38"/>
        <v>0</v>
      </c>
      <c r="BA64" s="249">
        <f t="shared" si="38"/>
        <v>0</v>
      </c>
      <c r="BB64" s="249">
        <f t="shared" si="38"/>
        <v>0</v>
      </c>
      <c r="BC64" s="249">
        <f t="shared" si="38"/>
        <v>0</v>
      </c>
      <c r="BE64" s="75">
        <f t="shared" ref="BE64:BE67" si="39">SUMIF($H$3:$BD$3,BE$3,$H64:$BD64)</f>
        <v>0</v>
      </c>
      <c r="BF64" s="75">
        <f t="shared" ref="BF64:BH79" si="40">SUMIF($H$3:$BD$3,BF$3,$H64:$BD64)</f>
        <v>0</v>
      </c>
      <c r="BG64" s="75">
        <f t="shared" si="40"/>
        <v>0</v>
      </c>
      <c r="BH64" s="75">
        <f t="shared" si="40"/>
        <v>0</v>
      </c>
    </row>
    <row r="65" spans="2:60" ht="21" customHeight="1" x14ac:dyDescent="0.3">
      <c r="B65" s="60" t="str">
        <f>$B$20</f>
        <v>Covid-19 Disruption - second period</v>
      </c>
      <c r="C65" s="48">
        <f>IF(C$20="","",C$20)</f>
        <v>43983</v>
      </c>
      <c r="D65" s="48">
        <f>IF(D$20="","",D$20)</f>
        <v>44165</v>
      </c>
      <c r="E65" s="47">
        <f>IF(E$20="","",E$20)</f>
        <v>1</v>
      </c>
      <c r="F65" s="79" t="str">
        <f>IF(OR('Covid 19'!$C$3="No",'Covid 19'!$C$4="No"),"",'Covid 19'!D59*12)</f>
        <v/>
      </c>
      <c r="G65" s="75"/>
      <c r="H65" s="249">
        <f t="shared" si="38"/>
        <v>0</v>
      </c>
      <c r="I65" s="249">
        <f t="shared" si="38"/>
        <v>0</v>
      </c>
      <c r="J65" s="249">
        <f t="shared" si="38"/>
        <v>0</v>
      </c>
      <c r="K65" s="249">
        <f t="shared" si="38"/>
        <v>0</v>
      </c>
      <c r="L65" s="249">
        <f t="shared" si="38"/>
        <v>0</v>
      </c>
      <c r="M65" s="249">
        <f t="shared" si="38"/>
        <v>0</v>
      </c>
      <c r="N65" s="249">
        <f t="shared" si="38"/>
        <v>0</v>
      </c>
      <c r="O65" s="249">
        <f t="shared" si="38"/>
        <v>0</v>
      </c>
      <c r="P65" s="249">
        <f t="shared" si="38"/>
        <v>0</v>
      </c>
      <c r="Q65" s="249">
        <f t="shared" si="38"/>
        <v>0</v>
      </c>
      <c r="R65" s="249">
        <f t="shared" si="38"/>
        <v>0</v>
      </c>
      <c r="S65" s="249">
        <f t="shared" si="38"/>
        <v>0</v>
      </c>
      <c r="T65" s="249">
        <f t="shared" si="38"/>
        <v>0</v>
      </c>
      <c r="U65" s="249">
        <f t="shared" si="38"/>
        <v>0</v>
      </c>
      <c r="V65" s="249">
        <f t="shared" si="38"/>
        <v>0</v>
      </c>
      <c r="W65" s="249">
        <f t="shared" si="38"/>
        <v>0</v>
      </c>
      <c r="X65" s="249">
        <f t="shared" si="38"/>
        <v>0</v>
      </c>
      <c r="Y65" s="249">
        <f t="shared" si="38"/>
        <v>0</v>
      </c>
      <c r="Z65" s="249">
        <f t="shared" si="38"/>
        <v>0</v>
      </c>
      <c r="AA65" s="249">
        <f t="shared" si="38"/>
        <v>0</v>
      </c>
      <c r="AB65" s="249">
        <f t="shared" si="38"/>
        <v>0</v>
      </c>
      <c r="AC65" s="249">
        <f t="shared" si="38"/>
        <v>0</v>
      </c>
      <c r="AD65" s="249">
        <f t="shared" si="38"/>
        <v>0</v>
      </c>
      <c r="AE65" s="249">
        <f t="shared" si="38"/>
        <v>0</v>
      </c>
      <c r="AF65" s="249">
        <f t="shared" si="38"/>
        <v>0</v>
      </c>
      <c r="AG65" s="249">
        <f t="shared" si="38"/>
        <v>0</v>
      </c>
      <c r="AH65" s="249">
        <f t="shared" si="38"/>
        <v>0</v>
      </c>
      <c r="AI65" s="249">
        <f t="shared" si="38"/>
        <v>0</v>
      </c>
      <c r="AJ65" s="249">
        <f t="shared" si="38"/>
        <v>0</v>
      </c>
      <c r="AK65" s="249">
        <f t="shared" si="38"/>
        <v>0</v>
      </c>
      <c r="AL65" s="249">
        <f t="shared" si="38"/>
        <v>0</v>
      </c>
      <c r="AM65" s="249">
        <f t="shared" si="38"/>
        <v>0</v>
      </c>
      <c r="AN65" s="249">
        <f t="shared" si="38"/>
        <v>0</v>
      </c>
      <c r="AO65" s="249">
        <f t="shared" si="38"/>
        <v>0</v>
      </c>
      <c r="AP65" s="249">
        <f t="shared" si="38"/>
        <v>0</v>
      </c>
      <c r="AQ65" s="249">
        <f t="shared" si="38"/>
        <v>0</v>
      </c>
      <c r="AR65" s="249">
        <f t="shared" si="38"/>
        <v>0</v>
      </c>
      <c r="AS65" s="249">
        <f t="shared" si="38"/>
        <v>0</v>
      </c>
      <c r="AT65" s="249">
        <f t="shared" si="38"/>
        <v>0</v>
      </c>
      <c r="AU65" s="249">
        <f t="shared" si="38"/>
        <v>0</v>
      </c>
      <c r="AV65" s="249">
        <f t="shared" si="38"/>
        <v>0</v>
      </c>
      <c r="AW65" s="249">
        <f t="shared" si="38"/>
        <v>0</v>
      </c>
      <c r="AX65" s="249">
        <f t="shared" si="38"/>
        <v>0</v>
      </c>
      <c r="AY65" s="249">
        <f t="shared" si="38"/>
        <v>0</v>
      </c>
      <c r="AZ65" s="249">
        <f t="shared" si="38"/>
        <v>0</v>
      </c>
      <c r="BA65" s="249">
        <f t="shared" si="38"/>
        <v>0</v>
      </c>
      <c r="BB65" s="249">
        <f t="shared" si="38"/>
        <v>0</v>
      </c>
      <c r="BC65" s="249">
        <f t="shared" si="38"/>
        <v>0</v>
      </c>
      <c r="BE65" s="75">
        <f t="shared" si="39"/>
        <v>0</v>
      </c>
      <c r="BF65" s="75">
        <f t="shared" si="40"/>
        <v>0</v>
      </c>
      <c r="BG65" s="75">
        <f t="shared" si="40"/>
        <v>0</v>
      </c>
      <c r="BH65" s="75">
        <f t="shared" si="40"/>
        <v>0</v>
      </c>
    </row>
    <row r="66" spans="2:60" ht="21" customHeight="1" x14ac:dyDescent="0.3">
      <c r="B66" s="160" t="s">
        <v>394</v>
      </c>
      <c r="C66" s="48"/>
      <c r="D66" s="48"/>
      <c r="E66" s="47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E66" s="75">
        <f t="shared" si="39"/>
        <v>0</v>
      </c>
      <c r="BF66" s="75">
        <f t="shared" si="40"/>
        <v>0</v>
      </c>
      <c r="BG66" s="75">
        <f t="shared" si="40"/>
        <v>0</v>
      </c>
      <c r="BH66" s="75">
        <f t="shared" si="40"/>
        <v>0</v>
      </c>
    </row>
    <row r="67" spans="2:60" ht="21" customHeight="1" x14ac:dyDescent="0.3">
      <c r="B67" s="160" t="str">
        <f>$B$22</f>
        <v>Covid-19 Wage subsidy</v>
      </c>
      <c r="C67" s="48">
        <f>C64</f>
        <v>43891</v>
      </c>
      <c r="D67" s="48">
        <f>EOMONTH(C67,3)</f>
        <v>44012</v>
      </c>
      <c r="E67" s="47">
        <v>1</v>
      </c>
      <c r="F67" s="75"/>
      <c r="G67" s="75"/>
      <c r="H67" s="161">
        <f>IF(EOMONTH('Covid 19'!$C$6,0)=Projection!H49,$G$22,0)</f>
        <v>0</v>
      </c>
      <c r="I67" s="161">
        <f>IF(EOMONTH('Covid 19'!$C$6,0)=Projection!I49,$G$22,0)</f>
        <v>0</v>
      </c>
      <c r="J67" s="161">
        <f>IF(EOMONTH('Covid 19'!$C$6,0)=Projection!J49,$G$22,0)</f>
        <v>0</v>
      </c>
      <c r="K67" s="161">
        <f>IF(EOMONTH('Covid 19'!$C$6,0)=Projection!K49,$G$22,0)</f>
        <v>0</v>
      </c>
      <c r="L67" s="161">
        <f>IF(EOMONTH('Covid 19'!$C$6,0)=Projection!L49,$G$22,0)</f>
        <v>0</v>
      </c>
      <c r="M67" s="161">
        <f>IF(EOMONTH('Covid 19'!$C$6,0)=Projection!M49,$G$22,0)</f>
        <v>0</v>
      </c>
      <c r="N67" s="161">
        <f>IF(EOMONTH('Covid 19'!$C$6,0)=Projection!N49,$G$22,0)</f>
        <v>0</v>
      </c>
      <c r="O67" s="161">
        <f>IF(EOMONTH('Covid 19'!$C$6,0)=Projection!O49,$G$22,0)</f>
        <v>0</v>
      </c>
      <c r="P67" s="161">
        <f>IF(EOMONTH('Covid 19'!$C$6,0)=Projection!P49,$G$22,0)</f>
        <v>0</v>
      </c>
      <c r="Q67" s="161">
        <f>IF(EOMONTH('Covid 19'!$C$6,0)=Projection!Q49,$G$22,0)</f>
        <v>0</v>
      </c>
      <c r="R67" s="161">
        <f>IF(EOMONTH('Covid 19'!$C$6,0)=Projection!R49,$G$22,0)</f>
        <v>0</v>
      </c>
      <c r="S67" s="161">
        <f>IF(EOMONTH('Covid 19'!$C$6,0)=Projection!S49,$G$22,0)</f>
        <v>0</v>
      </c>
      <c r="T67" s="161">
        <f>IF(EOMONTH('Covid 19'!$C$6,0)=Projection!T49,$G$22,0)</f>
        <v>0</v>
      </c>
      <c r="U67" s="161">
        <f>IF(EOMONTH('Covid 19'!$C$6,0)=Projection!U49,$G$22,0)</f>
        <v>0</v>
      </c>
      <c r="V67" s="161">
        <f>IF(EOMONTH('Covid 19'!$C$6,0)=Projection!V49,$G$22,0)</f>
        <v>0</v>
      </c>
      <c r="W67" s="161">
        <f>IF(EOMONTH('Covid 19'!$C$6,0)=Projection!W49,$G$22,0)</f>
        <v>0</v>
      </c>
      <c r="X67" s="161">
        <f>IF(EOMONTH('Covid 19'!$C$6,0)=Projection!X49,$G$22,0)</f>
        <v>0</v>
      </c>
      <c r="Y67" s="161">
        <f>IF(EOMONTH('Covid 19'!$C$6,0)=Projection!Y49,$G$22,0)</f>
        <v>0</v>
      </c>
      <c r="Z67" s="161">
        <f>IF(EOMONTH('Covid 19'!$C$6,0)=Projection!Z49,$G$22,0)</f>
        <v>0</v>
      </c>
      <c r="AA67" s="161">
        <f>IF(EOMONTH('Covid 19'!$C$6,0)=Projection!AA49,$G$22,0)</f>
        <v>0</v>
      </c>
      <c r="AB67" s="161">
        <f>IF(EOMONTH('Covid 19'!$C$6,0)=Projection!AB49,$G$22,0)</f>
        <v>0</v>
      </c>
      <c r="AC67" s="161">
        <f>IF(EOMONTH('Covid 19'!$C$6,0)=Projection!AC49,$G$22,0)</f>
        <v>0</v>
      </c>
      <c r="AD67" s="161">
        <f>IF(EOMONTH('Covid 19'!$C$6,0)=Projection!AD49,$G$22,0)</f>
        <v>0</v>
      </c>
      <c r="AE67" s="161">
        <f>IF(EOMONTH('Covid 19'!$C$6,0)=Projection!AE49,$G$22,0)</f>
        <v>0</v>
      </c>
      <c r="AF67" s="161">
        <f>IF(EOMONTH('Covid 19'!$C$6,0)=Projection!AF49,$G$22,0)</f>
        <v>0</v>
      </c>
      <c r="AG67" s="161">
        <f>IF(EOMONTH('Covid 19'!$C$6,0)=Projection!AG49,$G$22,0)</f>
        <v>0</v>
      </c>
      <c r="AH67" s="161">
        <f>IF(EOMONTH('Covid 19'!$C$6,0)=Projection!AH49,$G$22,0)</f>
        <v>0</v>
      </c>
      <c r="AI67" s="161">
        <f>IF(EOMONTH('Covid 19'!$C$6,0)=Projection!AI49,$G$22,0)</f>
        <v>0</v>
      </c>
      <c r="AJ67" s="161">
        <f>IF(EOMONTH('Covid 19'!$C$6,0)=Projection!AJ49,$G$22,0)</f>
        <v>0</v>
      </c>
      <c r="AK67" s="161">
        <f>IF(EOMONTH('Covid 19'!$C$6,0)=Projection!AK49,$G$22,0)</f>
        <v>0</v>
      </c>
      <c r="AL67" s="161">
        <f>IF(EOMONTH('Covid 19'!$C$6,0)=Projection!AL49,$G$22,0)</f>
        <v>0</v>
      </c>
      <c r="AM67" s="161">
        <f>IF(EOMONTH('Covid 19'!$C$6,0)=Projection!AM49,$G$22,0)</f>
        <v>0</v>
      </c>
      <c r="AN67" s="161">
        <f>IF(EOMONTH('Covid 19'!$C$6,0)=Projection!AN49,$G$22,0)</f>
        <v>0</v>
      </c>
      <c r="AO67" s="161">
        <f>IF(EOMONTH('Covid 19'!$C$6,0)=Projection!AO49,$G$22,0)</f>
        <v>0</v>
      </c>
      <c r="AP67" s="161">
        <f>IF(EOMONTH('Covid 19'!$C$6,0)=Projection!AP49,$G$22,0)</f>
        <v>0</v>
      </c>
      <c r="AQ67" s="161">
        <f>IF(EOMONTH('Covid 19'!$C$6,0)=Projection!AQ49,$G$22,0)</f>
        <v>0</v>
      </c>
      <c r="AR67" s="161">
        <f>IF(EOMONTH('Covid 19'!$C$6,0)=Projection!AR49,$G$22,0)</f>
        <v>0</v>
      </c>
      <c r="AS67" s="161">
        <f>IF(EOMONTH('Covid 19'!$C$6,0)=Projection!AS49,$G$22,0)</f>
        <v>0</v>
      </c>
      <c r="AT67" s="161">
        <f>IF(EOMONTH('Covid 19'!$C$6,0)=Projection!AT49,$G$22,0)</f>
        <v>0</v>
      </c>
      <c r="AU67" s="161">
        <f>IF(EOMONTH('Covid 19'!$C$6,0)=Projection!AU49,$G$22,0)</f>
        <v>0</v>
      </c>
      <c r="AV67" s="161">
        <f>IF(EOMONTH('Covid 19'!$C$6,0)=Projection!AV49,$G$22,0)</f>
        <v>0</v>
      </c>
      <c r="AW67" s="161">
        <f>IF(EOMONTH('Covid 19'!$C$6,0)=Projection!AW49,$G$22,0)</f>
        <v>0</v>
      </c>
      <c r="AX67" s="161">
        <f>IF(EOMONTH('Covid 19'!$C$6,0)=Projection!AX49,$G$22,0)</f>
        <v>0</v>
      </c>
      <c r="AY67" s="161">
        <f>IF(EOMONTH('Covid 19'!$C$6,0)=Projection!AY49,$G$22,0)</f>
        <v>0</v>
      </c>
      <c r="AZ67" s="161">
        <f>IF(EOMONTH('Covid 19'!$C$6,0)=Projection!AZ49,$G$22,0)</f>
        <v>0</v>
      </c>
      <c r="BA67" s="161">
        <f>IF(EOMONTH('Covid 19'!$C$6,0)=Projection!BA49,$G$22,0)</f>
        <v>0</v>
      </c>
      <c r="BB67" s="161">
        <f>IF(EOMONTH('Covid 19'!$C$6,0)=Projection!BB49,$G$22,0)</f>
        <v>0</v>
      </c>
      <c r="BC67" s="161">
        <f>IF(EOMONTH('Covid 19'!$C$6,0)=Projection!BC49,$G$22,0)</f>
        <v>0</v>
      </c>
      <c r="BE67" s="75">
        <f t="shared" si="39"/>
        <v>0</v>
      </c>
      <c r="BF67" s="75">
        <f t="shared" si="40"/>
        <v>0</v>
      </c>
      <c r="BG67" s="75">
        <f t="shared" si="40"/>
        <v>0</v>
      </c>
      <c r="BH67" s="75">
        <f t="shared" si="40"/>
        <v>0</v>
      </c>
    </row>
    <row r="68" spans="2:60" ht="21" customHeight="1" x14ac:dyDescent="0.3">
      <c r="B68" s="60" t="str">
        <f>$B$23</f>
        <v>Call Management</v>
      </c>
      <c r="C68" s="48">
        <f>IF(C$23="","",C$23)</f>
        <v>43922</v>
      </c>
      <c r="D68" s="48" t="str">
        <f>IF(D$23="","",D$23)</f>
        <v/>
      </c>
      <c r="E68" s="47">
        <f>IF(E$23="","",E$23)</f>
        <v>1</v>
      </c>
      <c r="F68" s="79"/>
      <c r="G68" s="75"/>
      <c r="H68" s="75">
        <f>IFERROR(MIN(1,MAX(0,(EOMONTH(H$4,0)+1-$C68)/(EDATE($C68,$E68)-$C68)))*$F68/12+IF(AND(H$4&gt;=EOMONTH($C68,0),H$4&lt;=EOMONTH($C68,11)),$G68/12,0),0)</f>
        <v>0</v>
      </c>
      <c r="I68" s="75">
        <f t="shared" ref="I68:BC69" si="41">IFERROR(MIN(1,MAX(0,(EOMONTH(I$4,0)+1-$C68)/(EDATE($C68,$E68)-$C68)))*$F68/12+IF(AND(I$4&gt;=EOMONTH($C68,0),I$4&lt;=EOMONTH($C68,11)),$G68/12,0),0)</f>
        <v>0</v>
      </c>
      <c r="J68" s="75">
        <f t="shared" si="41"/>
        <v>0</v>
      </c>
      <c r="K68" s="75">
        <f t="shared" si="41"/>
        <v>0</v>
      </c>
      <c r="L68" s="75">
        <f t="shared" si="41"/>
        <v>0</v>
      </c>
      <c r="M68" s="75">
        <f t="shared" si="41"/>
        <v>0</v>
      </c>
      <c r="N68" s="75">
        <f t="shared" si="41"/>
        <v>0</v>
      </c>
      <c r="O68" s="75">
        <f t="shared" si="41"/>
        <v>0</v>
      </c>
      <c r="P68" s="75">
        <f t="shared" si="41"/>
        <v>0</v>
      </c>
      <c r="Q68" s="75">
        <f t="shared" si="41"/>
        <v>0</v>
      </c>
      <c r="R68" s="75">
        <f t="shared" si="41"/>
        <v>0</v>
      </c>
      <c r="S68" s="75">
        <f t="shared" si="41"/>
        <v>0</v>
      </c>
      <c r="T68" s="75">
        <f t="shared" si="41"/>
        <v>0</v>
      </c>
      <c r="U68" s="75">
        <f t="shared" si="41"/>
        <v>0</v>
      </c>
      <c r="V68" s="75">
        <f t="shared" si="41"/>
        <v>0</v>
      </c>
      <c r="W68" s="75">
        <f t="shared" si="41"/>
        <v>0</v>
      </c>
      <c r="X68" s="75">
        <f t="shared" si="41"/>
        <v>0</v>
      </c>
      <c r="Y68" s="75">
        <f t="shared" si="41"/>
        <v>0</v>
      </c>
      <c r="Z68" s="75">
        <f t="shared" si="41"/>
        <v>0</v>
      </c>
      <c r="AA68" s="75">
        <f t="shared" si="41"/>
        <v>0</v>
      </c>
      <c r="AB68" s="75">
        <f t="shared" si="41"/>
        <v>0</v>
      </c>
      <c r="AC68" s="75">
        <f t="shared" si="41"/>
        <v>0</v>
      </c>
      <c r="AD68" s="75">
        <f t="shared" si="41"/>
        <v>0</v>
      </c>
      <c r="AE68" s="75">
        <f t="shared" si="41"/>
        <v>0</v>
      </c>
      <c r="AF68" s="75">
        <f t="shared" si="41"/>
        <v>0</v>
      </c>
      <c r="AG68" s="75">
        <f t="shared" si="41"/>
        <v>0</v>
      </c>
      <c r="AH68" s="75">
        <f t="shared" si="41"/>
        <v>0</v>
      </c>
      <c r="AI68" s="75">
        <f t="shared" si="41"/>
        <v>0</v>
      </c>
      <c r="AJ68" s="75">
        <f t="shared" si="41"/>
        <v>0</v>
      </c>
      <c r="AK68" s="75">
        <f t="shared" si="41"/>
        <v>0</v>
      </c>
      <c r="AL68" s="75">
        <f t="shared" si="41"/>
        <v>0</v>
      </c>
      <c r="AM68" s="75">
        <f t="shared" si="41"/>
        <v>0</v>
      </c>
      <c r="AN68" s="75">
        <f t="shared" si="41"/>
        <v>0</v>
      </c>
      <c r="AO68" s="75">
        <f t="shared" si="41"/>
        <v>0</v>
      </c>
      <c r="AP68" s="75">
        <f t="shared" si="41"/>
        <v>0</v>
      </c>
      <c r="AQ68" s="75">
        <f t="shared" si="41"/>
        <v>0</v>
      </c>
      <c r="AR68" s="75">
        <f t="shared" si="41"/>
        <v>0</v>
      </c>
      <c r="AS68" s="75">
        <f t="shared" si="41"/>
        <v>0</v>
      </c>
      <c r="AT68" s="75">
        <f t="shared" si="41"/>
        <v>0</v>
      </c>
      <c r="AU68" s="75">
        <f t="shared" si="41"/>
        <v>0</v>
      </c>
      <c r="AV68" s="75">
        <f t="shared" si="41"/>
        <v>0</v>
      </c>
      <c r="AW68" s="75">
        <f t="shared" si="41"/>
        <v>0</v>
      </c>
      <c r="AX68" s="75">
        <f t="shared" si="41"/>
        <v>0</v>
      </c>
      <c r="AY68" s="75">
        <f t="shared" si="41"/>
        <v>0</v>
      </c>
      <c r="AZ68" s="75">
        <f t="shared" si="41"/>
        <v>0</v>
      </c>
      <c r="BA68" s="75">
        <f t="shared" si="41"/>
        <v>0</v>
      </c>
      <c r="BB68" s="75">
        <f t="shared" si="41"/>
        <v>0</v>
      </c>
      <c r="BC68" s="75">
        <f t="shared" si="41"/>
        <v>0</v>
      </c>
      <c r="BE68" s="75">
        <f t="shared" ref="BE68:BE79" si="42">SUMIF($H$3:$BD$3,BE$3,$H68:$BD68)</f>
        <v>0</v>
      </c>
      <c r="BF68" s="75">
        <f t="shared" si="40"/>
        <v>0</v>
      </c>
      <c r="BG68" s="75">
        <f t="shared" si="40"/>
        <v>0</v>
      </c>
      <c r="BH68" s="75">
        <f t="shared" si="40"/>
        <v>0</v>
      </c>
    </row>
    <row r="69" spans="2:60" ht="21" customHeight="1" x14ac:dyDescent="0.3">
      <c r="B69" s="60" t="str">
        <f>$B$24</f>
        <v>GP triage</v>
      </c>
      <c r="C69" s="48">
        <f>IF(C$24="","",C$24)</f>
        <v>43922</v>
      </c>
      <c r="D69" s="48" t="str">
        <f>IF(D$24="","",D$24)</f>
        <v/>
      </c>
      <c r="E69" s="47">
        <f>IF(E24="","",E24)</f>
        <v>3</v>
      </c>
      <c r="F69" s="79">
        <f>'GP Triage'!C65</f>
        <v>-51330</v>
      </c>
      <c r="G69" s="75"/>
      <c r="H69" s="75">
        <f>IFERROR(MIN(1,MAX(0,(EOMONTH(H$4,0)+1-$C69)/(EDATE($C69,$E69)-$C69)))*$F69/12+IF(AND(H$4&gt;=EOMONTH($C69,0),H$4&lt;=EOMONTH($C69,11)),$G69/12,0),0)</f>
        <v>0</v>
      </c>
      <c r="I69" s="75">
        <f t="shared" si="41"/>
        <v>0</v>
      </c>
      <c r="J69" s="75">
        <f t="shared" si="41"/>
        <v>0</v>
      </c>
      <c r="K69" s="75">
        <f t="shared" si="41"/>
        <v>0</v>
      </c>
      <c r="L69" s="75">
        <f t="shared" si="41"/>
        <v>0</v>
      </c>
      <c r="M69" s="75">
        <f t="shared" si="41"/>
        <v>0</v>
      </c>
      <c r="N69" s="75">
        <f t="shared" si="41"/>
        <v>0</v>
      </c>
      <c r="O69" s="75">
        <f t="shared" si="41"/>
        <v>0</v>
      </c>
      <c r="P69" s="75">
        <f t="shared" si="41"/>
        <v>0</v>
      </c>
      <c r="Q69" s="75">
        <f t="shared" si="41"/>
        <v>0</v>
      </c>
      <c r="R69" s="75">
        <f t="shared" si="41"/>
        <v>0</v>
      </c>
      <c r="S69" s="75">
        <f t="shared" si="41"/>
        <v>0</v>
      </c>
      <c r="T69" s="75">
        <f t="shared" si="41"/>
        <v>-1410.1648351648353</v>
      </c>
      <c r="U69" s="75">
        <f t="shared" si="41"/>
        <v>-2867.335164835165</v>
      </c>
      <c r="V69" s="75">
        <f t="shared" si="41"/>
        <v>-4277.5</v>
      </c>
      <c r="W69" s="75">
        <f t="shared" si="41"/>
        <v>-4277.5</v>
      </c>
      <c r="X69" s="75">
        <f t="shared" si="41"/>
        <v>-4277.5</v>
      </c>
      <c r="Y69" s="75">
        <f t="shared" si="41"/>
        <v>-4277.5</v>
      </c>
      <c r="Z69" s="75">
        <f t="shared" si="41"/>
        <v>-4277.5</v>
      </c>
      <c r="AA69" s="75">
        <f t="shared" si="41"/>
        <v>-4277.5</v>
      </c>
      <c r="AB69" s="75">
        <f t="shared" si="41"/>
        <v>-4277.5</v>
      </c>
      <c r="AC69" s="75">
        <f t="shared" si="41"/>
        <v>-4277.5</v>
      </c>
      <c r="AD69" s="75">
        <f t="shared" si="41"/>
        <v>-4277.5</v>
      </c>
      <c r="AE69" s="75">
        <f t="shared" si="41"/>
        <v>-4277.5</v>
      </c>
      <c r="AF69" s="75">
        <f t="shared" si="41"/>
        <v>-4277.5</v>
      </c>
      <c r="AG69" s="75">
        <f t="shared" si="41"/>
        <v>-4277.5</v>
      </c>
      <c r="AH69" s="75">
        <f t="shared" si="41"/>
        <v>-4277.5</v>
      </c>
      <c r="AI69" s="75">
        <f t="shared" si="41"/>
        <v>-4277.5</v>
      </c>
      <c r="AJ69" s="75">
        <f t="shared" si="41"/>
        <v>-4277.5</v>
      </c>
      <c r="AK69" s="75">
        <f t="shared" si="41"/>
        <v>-4277.5</v>
      </c>
      <c r="AL69" s="75">
        <f t="shared" si="41"/>
        <v>-4277.5</v>
      </c>
      <c r="AM69" s="75">
        <f t="shared" si="41"/>
        <v>-4277.5</v>
      </c>
      <c r="AN69" s="75">
        <f t="shared" si="41"/>
        <v>-4277.5</v>
      </c>
      <c r="AO69" s="75">
        <f t="shared" si="41"/>
        <v>-4277.5</v>
      </c>
      <c r="AP69" s="75">
        <f t="shared" si="41"/>
        <v>-4277.5</v>
      </c>
      <c r="AQ69" s="75">
        <f t="shared" si="41"/>
        <v>-4277.5</v>
      </c>
      <c r="AR69" s="75">
        <f t="shared" si="41"/>
        <v>-4277.5</v>
      </c>
      <c r="AS69" s="75">
        <f t="shared" si="41"/>
        <v>-4277.5</v>
      </c>
      <c r="AT69" s="75">
        <f t="shared" si="41"/>
        <v>-4277.5</v>
      </c>
      <c r="AU69" s="75">
        <f t="shared" si="41"/>
        <v>-4277.5</v>
      </c>
      <c r="AV69" s="75">
        <f t="shared" si="41"/>
        <v>-4277.5</v>
      </c>
      <c r="AW69" s="75">
        <f t="shared" si="41"/>
        <v>-4277.5</v>
      </c>
      <c r="AX69" s="75">
        <f t="shared" si="41"/>
        <v>-4277.5</v>
      </c>
      <c r="AY69" s="75">
        <f t="shared" si="41"/>
        <v>-4277.5</v>
      </c>
      <c r="AZ69" s="75">
        <f t="shared" si="41"/>
        <v>-4277.5</v>
      </c>
      <c r="BA69" s="75">
        <f t="shared" si="41"/>
        <v>-4277.5</v>
      </c>
      <c r="BB69" s="75">
        <f t="shared" si="41"/>
        <v>-4277.5</v>
      </c>
      <c r="BC69" s="75">
        <f t="shared" si="41"/>
        <v>-4277.5</v>
      </c>
      <c r="BD69" s="61"/>
      <c r="BE69" s="75">
        <f t="shared" si="42"/>
        <v>0</v>
      </c>
      <c r="BF69" s="75">
        <f t="shared" si="40"/>
        <v>-47052.5</v>
      </c>
      <c r="BG69" s="75">
        <f t="shared" si="40"/>
        <v>-51330</v>
      </c>
      <c r="BH69" s="75">
        <f t="shared" si="40"/>
        <v>-51330</v>
      </c>
    </row>
    <row r="70" spans="2:60" ht="21" customHeight="1" x14ac:dyDescent="0.3">
      <c r="B70" s="60" t="s">
        <v>354</v>
      </c>
      <c r="C70" s="48">
        <f>IF(C$25="","",C$25)</f>
        <v>43891</v>
      </c>
      <c r="D70" s="48">
        <f>IF(D$25="","",D$25)</f>
        <v>43982</v>
      </c>
      <c r="E70" s="47">
        <v>1</v>
      </c>
      <c r="F70" s="79" t="str">
        <f>IF(OR('Covid 19'!$C$3="No",'Covid 19'!$C$4="No"),"",'GP Triage'!D65)</f>
        <v/>
      </c>
      <c r="G70" s="75"/>
      <c r="H70" s="161">
        <f>IF(AND(H$5=1,$F70&lt;&gt;""),$F70/'Covid 19'!$C$7-H69,0)</f>
        <v>0</v>
      </c>
      <c r="I70" s="161">
        <f>IF(AND(I$5=1,$F70&lt;&gt;""),$F70/'Covid 19'!$C$7-I69,0)</f>
        <v>0</v>
      </c>
      <c r="J70" s="161">
        <f>IF(AND(J$5=1,$F70&lt;&gt;""),$F70/'Covid 19'!$C$7-J69,0)</f>
        <v>0</v>
      </c>
      <c r="K70" s="161">
        <f>IF(AND(K$5=1,$F70&lt;&gt;""),$F70/'Covid 19'!$C$7-K69,0)</f>
        <v>0</v>
      </c>
      <c r="L70" s="161">
        <f>IF(AND(L$5=1,$F70&lt;&gt;""),$F70/'Covid 19'!$C$7-L69,0)</f>
        <v>0</v>
      </c>
      <c r="M70" s="161">
        <f>IF(AND(M$5=1,$F70&lt;&gt;""),$F70/'Covid 19'!$C$7-M69,0)</f>
        <v>0</v>
      </c>
      <c r="N70" s="161">
        <f>IF(AND(N$5=1,$F70&lt;&gt;""),$F70/'Covid 19'!$C$7-N69,0)</f>
        <v>0</v>
      </c>
      <c r="O70" s="161">
        <f>IF(AND(O$5=1,$F70&lt;&gt;""),$F70/'Covid 19'!$C$7-O69,0)</f>
        <v>0</v>
      </c>
      <c r="P70" s="161">
        <f>IF(AND(P$5=1,$F70&lt;&gt;""),$F70/'Covid 19'!$C$7-P69,0)</f>
        <v>0</v>
      </c>
      <c r="Q70" s="161">
        <f>IF(AND(Q$5=1,$F70&lt;&gt;""),$F70/'Covid 19'!$C$7-Q69,0)</f>
        <v>0</v>
      </c>
      <c r="R70" s="161">
        <f>IF(AND(R$5=1,$F70&lt;&gt;""),$F70/'Covid 19'!$C$7-R69,0)</f>
        <v>0</v>
      </c>
      <c r="S70" s="161">
        <f>IF(AND(S$5=1,$F70&lt;&gt;""),$F70/'Covid 19'!$C$7-S69,0)</f>
        <v>0</v>
      </c>
      <c r="T70" s="161">
        <f>IF(AND(T$5=1,$F70&lt;&gt;""),$F70/'Covid 19'!$C$7-T69,0)</f>
        <v>0</v>
      </c>
      <c r="U70" s="161">
        <f>IF(AND(U$5=1,$F70&lt;&gt;""),$F70/'Covid 19'!$C$7-U69,0)</f>
        <v>0</v>
      </c>
      <c r="V70" s="161">
        <f>IF(AND(V$5=1,$F70&lt;&gt;""),$F70/'Covid 19'!$C$7-V69,0)</f>
        <v>0</v>
      </c>
      <c r="W70" s="161">
        <f>IF(AND(W$5=1,$F70&lt;&gt;""),$F70/'Covid 19'!$C$7-W69,0)</f>
        <v>0</v>
      </c>
      <c r="X70" s="161">
        <f>IF(AND(X$5=1,$F70&lt;&gt;""),$F70/'Covid 19'!$C$7-X69,0)</f>
        <v>0</v>
      </c>
      <c r="Y70" s="161">
        <f>IF(AND(Y$5=1,$F70&lt;&gt;""),$F70/'Covid 19'!$C$7-Y69,0)</f>
        <v>0</v>
      </c>
      <c r="Z70" s="161">
        <f>IF(AND(Z$5=1,$F70&lt;&gt;""),$F70/'Covid 19'!$C$7-Z69,0)</f>
        <v>0</v>
      </c>
      <c r="AA70" s="161">
        <f>IF(AND(AA$5=1,$F70&lt;&gt;""),$F70/'Covid 19'!$C$7-AA69,0)</f>
        <v>0</v>
      </c>
      <c r="AB70" s="161">
        <f>IF(AND(AB$5=1,$F70&lt;&gt;""),$F70/'Covid 19'!$C$7-AB69,0)</f>
        <v>0</v>
      </c>
      <c r="AC70" s="161">
        <f>IF(AND(AC$5=1,$F70&lt;&gt;""),$F70/'Covid 19'!$C$7-AC69,0)</f>
        <v>0</v>
      </c>
      <c r="AD70" s="161">
        <f>IF(AND(AD$5=1,$F70&lt;&gt;""),$F70/'Covid 19'!$C$7-AD69,0)</f>
        <v>0</v>
      </c>
      <c r="AE70" s="161">
        <f>IF(AND(AE$5=1,$F70&lt;&gt;""),$F70/'Covid 19'!$C$7-AE69,0)</f>
        <v>0</v>
      </c>
      <c r="AF70" s="161">
        <f>IF(AND(AF$5=1,$F70&lt;&gt;""),$F70/'Covid 19'!$C$7-AF69,0)</f>
        <v>0</v>
      </c>
      <c r="AG70" s="161">
        <f>IF(AND(AG$5=1,$F70&lt;&gt;""),$F70/'Covid 19'!$C$7-AG69,0)</f>
        <v>0</v>
      </c>
      <c r="AH70" s="161">
        <f>IF(AND(AH$5=1,$F70&lt;&gt;""),$F70/'Covid 19'!$C$7-AH69,0)</f>
        <v>0</v>
      </c>
      <c r="AI70" s="161">
        <f>IF(AND(AI$5=1,$F70&lt;&gt;""),$F70/'Covid 19'!$C$7-AI69,0)</f>
        <v>0</v>
      </c>
      <c r="AJ70" s="161">
        <f>IF(AND(AJ$5=1,$F70&lt;&gt;""),$F70/'Covid 19'!$C$7-AJ69,0)</f>
        <v>0</v>
      </c>
      <c r="AK70" s="161">
        <f>IF(AND(AK$5=1,$F70&lt;&gt;""),$F70/'Covid 19'!$C$7-AK69,0)</f>
        <v>0</v>
      </c>
      <c r="AL70" s="161">
        <f>IF(AND(AL$5=1,$F70&lt;&gt;""),$F70/'Covid 19'!$C$7-AL69,0)</f>
        <v>0</v>
      </c>
      <c r="AM70" s="161">
        <f>IF(AND(AM$5=1,$F70&lt;&gt;""),$F70/'Covid 19'!$C$7-AM69,0)</f>
        <v>0</v>
      </c>
      <c r="AN70" s="161">
        <f>IF(AND(AN$5=1,$F70&lt;&gt;""),$F70/'Covid 19'!$C$7-AN69,0)</f>
        <v>0</v>
      </c>
      <c r="AO70" s="161">
        <f>IF(AND(AO$5=1,$F70&lt;&gt;""),$F70/'Covid 19'!$C$7-AO69,0)</f>
        <v>0</v>
      </c>
      <c r="AP70" s="161">
        <f>IF(AND(AP$5=1,$F70&lt;&gt;""),$F70/'Covid 19'!$C$7-AP69,0)</f>
        <v>0</v>
      </c>
      <c r="AQ70" s="161">
        <f>IF(AND(AQ$5=1,$F70&lt;&gt;""),$F70/'Covid 19'!$C$7-AQ69,0)</f>
        <v>0</v>
      </c>
      <c r="AR70" s="161">
        <f>IF(AND(AR$5=1,$F70&lt;&gt;""),$F70/'Covid 19'!$C$7-AR69,0)</f>
        <v>0</v>
      </c>
      <c r="AS70" s="161">
        <f>IF(AND(AS$5=1,$F70&lt;&gt;""),$F70/'Covid 19'!$C$7-AS69,0)</f>
        <v>0</v>
      </c>
      <c r="AT70" s="161">
        <f>IF(AND(AT$5=1,$F70&lt;&gt;""),$F70/'Covid 19'!$C$7-AT69,0)</f>
        <v>0</v>
      </c>
      <c r="AU70" s="161">
        <f>IF(AND(AU$5=1,$F70&lt;&gt;""),$F70/'Covid 19'!$C$7-AU69,0)</f>
        <v>0</v>
      </c>
      <c r="AV70" s="161">
        <f>IF(AND(AV$5=1,$F70&lt;&gt;""),$F70/'Covid 19'!$C$7-AV69,0)</f>
        <v>0</v>
      </c>
      <c r="AW70" s="161">
        <f>IF(AND(AW$5=1,$F70&lt;&gt;""),$F70/'Covid 19'!$C$7-AW69,0)</f>
        <v>0</v>
      </c>
      <c r="AX70" s="161">
        <f>IF(AND(AX$5=1,$F70&lt;&gt;""),$F70/'Covid 19'!$C$7-AX69,0)</f>
        <v>0</v>
      </c>
      <c r="AY70" s="161">
        <f>IF(AND(AY$5=1,$F70&lt;&gt;""),$F70/'Covid 19'!$C$7-AY69,0)</f>
        <v>0</v>
      </c>
      <c r="AZ70" s="161">
        <f>IF(AND(AZ$5=1,$F70&lt;&gt;""),$F70/'Covid 19'!$C$7-AZ69,0)</f>
        <v>0</v>
      </c>
      <c r="BA70" s="161">
        <f>IF(AND(BA$5=1,$F70&lt;&gt;""),$F70/'Covid 19'!$C$7-BA69,0)</f>
        <v>0</v>
      </c>
      <c r="BB70" s="161">
        <f>IF(AND(BB$5=1,$F70&lt;&gt;""),$F70/'Covid 19'!$C$7-BB69,0)</f>
        <v>0</v>
      </c>
      <c r="BC70" s="161">
        <f>IF(AND(BC$5=1,$F70&lt;&gt;""),$F70/'Covid 19'!$C$7-BC69,0)</f>
        <v>0</v>
      </c>
      <c r="BE70" s="75">
        <f t="shared" si="42"/>
        <v>0</v>
      </c>
      <c r="BF70" s="75">
        <f t="shared" si="40"/>
        <v>0</v>
      </c>
      <c r="BG70" s="75">
        <f t="shared" si="40"/>
        <v>0</v>
      </c>
      <c r="BH70" s="75">
        <f t="shared" si="40"/>
        <v>0</v>
      </c>
    </row>
    <row r="71" spans="2:60" ht="21" customHeight="1" x14ac:dyDescent="0.3">
      <c r="B71" s="60" t="str">
        <f>B26</f>
        <v>Virtual consults</v>
      </c>
      <c r="C71" s="48">
        <f>IF(C$26="","",C$26)</f>
        <v>43922</v>
      </c>
      <c r="D71" s="48" t="str">
        <f>IF(D$26="","",D$26)</f>
        <v/>
      </c>
      <c r="E71" s="47">
        <f>IF(E26="","",E26)</f>
        <v>36</v>
      </c>
      <c r="F71" s="79">
        <f>Virtual!C41</f>
        <v>-8100.0000000000018</v>
      </c>
      <c r="G71" s="75"/>
      <c r="H71" s="75">
        <f>IFERROR(MIN(1,MAX(0,(EOMONTH(H$4,0)+1-$C71)/(EDATE($C71,$E71)-$C71)))*$F71/12+IF(AND(H$4&gt;=EOMONTH($C71,0),H$4&lt;=EOMONTH($C71,11)),$G71/12,0),0)</f>
        <v>0</v>
      </c>
      <c r="I71" s="75">
        <f t="shared" ref="I71:BC71" si="43">IFERROR(MIN(1,MAX(0,(EOMONTH(I$4,0)+1-$C71)/(EDATE($C71,$E71)-$C71)))*$F71/12+IF(AND(I$4&gt;=EOMONTH($C71,0),I$4&lt;=EOMONTH($C71,11)),$G71/12,0),0)</f>
        <v>0</v>
      </c>
      <c r="J71" s="75">
        <f t="shared" si="43"/>
        <v>0</v>
      </c>
      <c r="K71" s="75">
        <f t="shared" si="43"/>
        <v>0</v>
      </c>
      <c r="L71" s="75">
        <f t="shared" si="43"/>
        <v>0</v>
      </c>
      <c r="M71" s="75">
        <f t="shared" si="43"/>
        <v>0</v>
      </c>
      <c r="N71" s="75">
        <f t="shared" si="43"/>
        <v>0</v>
      </c>
      <c r="O71" s="75">
        <f t="shared" si="43"/>
        <v>0</v>
      </c>
      <c r="P71" s="75">
        <f t="shared" si="43"/>
        <v>0</v>
      </c>
      <c r="Q71" s="75">
        <f t="shared" si="43"/>
        <v>0</v>
      </c>
      <c r="R71" s="75">
        <f t="shared" si="43"/>
        <v>0</v>
      </c>
      <c r="S71" s="75">
        <f t="shared" si="43"/>
        <v>0</v>
      </c>
      <c r="T71" s="75">
        <f t="shared" si="43"/>
        <v>-18.493150684931511</v>
      </c>
      <c r="U71" s="75">
        <f t="shared" si="43"/>
        <v>-37.602739726027409</v>
      </c>
      <c r="V71" s="75">
        <f t="shared" si="43"/>
        <v>-56.095890410958923</v>
      </c>
      <c r="W71" s="75">
        <f t="shared" si="43"/>
        <v>-75.205479452054817</v>
      </c>
      <c r="X71" s="75">
        <f t="shared" si="43"/>
        <v>-94.315068493150704</v>
      </c>
      <c r="Y71" s="75">
        <f t="shared" si="43"/>
        <v>-112.80821917808221</v>
      </c>
      <c r="Z71" s="75">
        <f t="shared" si="43"/>
        <v>-131.91780821917811</v>
      </c>
      <c r="AA71" s="75">
        <f t="shared" si="43"/>
        <v>-150.41095890410963</v>
      </c>
      <c r="AB71" s="75">
        <f t="shared" si="43"/>
        <v>-169.52054794520549</v>
      </c>
      <c r="AC71" s="75">
        <f t="shared" si="43"/>
        <v>-188.63013698630141</v>
      </c>
      <c r="AD71" s="75">
        <f t="shared" si="43"/>
        <v>-205.89041095890414</v>
      </c>
      <c r="AE71" s="75">
        <f t="shared" si="43"/>
        <v>-225.00000000000003</v>
      </c>
      <c r="AF71" s="75">
        <f t="shared" si="43"/>
        <v>-243.49315068493152</v>
      </c>
      <c r="AG71" s="75">
        <f t="shared" si="43"/>
        <v>-262.60273972602744</v>
      </c>
      <c r="AH71" s="75">
        <f t="shared" si="43"/>
        <v>-281.09589041095899</v>
      </c>
      <c r="AI71" s="75">
        <f t="shared" si="43"/>
        <v>-300.20547945205482</v>
      </c>
      <c r="AJ71" s="75">
        <f t="shared" si="43"/>
        <v>-319.31506849315076</v>
      </c>
      <c r="AK71" s="75">
        <f t="shared" si="43"/>
        <v>-337.80821917808231</v>
      </c>
      <c r="AL71" s="75">
        <f t="shared" si="43"/>
        <v>-356.9178082191782</v>
      </c>
      <c r="AM71" s="75">
        <f t="shared" si="43"/>
        <v>-375.41095890410969</v>
      </c>
      <c r="AN71" s="75">
        <f t="shared" si="43"/>
        <v>-394.52054794520558</v>
      </c>
      <c r="AO71" s="75">
        <f t="shared" si="43"/>
        <v>-413.63013698630147</v>
      </c>
      <c r="AP71" s="75">
        <f t="shared" si="43"/>
        <v>-430.89041095890428</v>
      </c>
      <c r="AQ71" s="75">
        <f t="shared" si="43"/>
        <v>-450.00000000000006</v>
      </c>
      <c r="AR71" s="75">
        <f t="shared" si="43"/>
        <v>-468.49315068493161</v>
      </c>
      <c r="AS71" s="75">
        <f t="shared" si="43"/>
        <v>-487.60273972602749</v>
      </c>
      <c r="AT71" s="75">
        <f t="shared" si="43"/>
        <v>-506.09589041095904</v>
      </c>
      <c r="AU71" s="75">
        <f t="shared" si="43"/>
        <v>-525.20547945205487</v>
      </c>
      <c r="AV71" s="75">
        <f t="shared" si="43"/>
        <v>-544.31506849315087</v>
      </c>
      <c r="AW71" s="75">
        <f t="shared" si="43"/>
        <v>-562.80821917808237</v>
      </c>
      <c r="AX71" s="75">
        <f t="shared" si="43"/>
        <v>-581.91780821917826</v>
      </c>
      <c r="AY71" s="75">
        <f t="shared" si="43"/>
        <v>-600.41095890410963</v>
      </c>
      <c r="AZ71" s="75">
        <f t="shared" si="43"/>
        <v>-619.52054794520564</v>
      </c>
      <c r="BA71" s="75">
        <f t="shared" si="43"/>
        <v>-638.63013698630152</v>
      </c>
      <c r="BB71" s="75">
        <f t="shared" si="43"/>
        <v>-655.89041095890423</v>
      </c>
      <c r="BC71" s="75">
        <f t="shared" si="43"/>
        <v>-675.00000000000011</v>
      </c>
      <c r="BD71" s="61"/>
      <c r="BE71" s="75">
        <f t="shared" si="42"/>
        <v>0</v>
      </c>
      <c r="BF71" s="75">
        <f t="shared" si="40"/>
        <v>-1465.8904109589043</v>
      </c>
      <c r="BG71" s="75">
        <f t="shared" si="40"/>
        <v>-4165.8904109589048</v>
      </c>
      <c r="BH71" s="75">
        <f t="shared" si="40"/>
        <v>-6865.8904109589057</v>
      </c>
    </row>
    <row r="72" spans="2:60" ht="21" customHeight="1" x14ac:dyDescent="0.3">
      <c r="B72" s="60" t="s">
        <v>367</v>
      </c>
      <c r="C72" s="48">
        <f>C64</f>
        <v>43891</v>
      </c>
      <c r="D72" s="48">
        <f>D65</f>
        <v>44165</v>
      </c>
      <c r="E72" s="47">
        <v>1</v>
      </c>
      <c r="F72" s="75" t="str">
        <f>IF(OR('Covid 19'!$C$3="No",'Covid 19'!$C$4="No"),"",'Covid 19'!D60)</f>
        <v/>
      </c>
      <c r="G72" s="75" t="str">
        <f>IF(OR('Covid 19'!$C$3="No",'Covid 19'!$C$4="No"),"",'Covid 19'!C60)</f>
        <v/>
      </c>
      <c r="H72" s="161">
        <f>IF(AND(H$5=1,$G72&lt;&gt;""),$G72-H71,IF(AND(H$5=2,$F72&lt;&gt;""),$F72-H71,0))</f>
        <v>0</v>
      </c>
      <c r="I72" s="161">
        <f t="shared" ref="I72" si="44">IF(AND(I$5=1,$G72&lt;&gt;""),$G72-I71,IF(AND(I$5=2,$F72&lt;&gt;""),$F72-I71,0))</f>
        <v>0</v>
      </c>
      <c r="J72" s="161">
        <f t="shared" ref="J72" si="45">IF(AND(J$5=1,$G72&lt;&gt;""),$G72-J71,IF(AND(J$5=2,$F72&lt;&gt;""),$F72-J71,0))</f>
        <v>0</v>
      </c>
      <c r="K72" s="161">
        <f t="shared" ref="K72" si="46">IF(AND(K$5=1,$G72&lt;&gt;""),$G72-K71,IF(AND(K$5=2,$F72&lt;&gt;""),$F72-K71,0))</f>
        <v>0</v>
      </c>
      <c r="L72" s="161">
        <f t="shared" ref="L72" si="47">IF(AND(L$5=1,$G72&lt;&gt;""),$G72-L71,IF(AND(L$5=2,$F72&lt;&gt;""),$F72-L71,0))</f>
        <v>0</v>
      </c>
      <c r="M72" s="161">
        <f t="shared" ref="M72" si="48">IF(AND(M$5=1,$G72&lt;&gt;""),$G72-M71,IF(AND(M$5=2,$F72&lt;&gt;""),$F72-M71,0))</f>
        <v>0</v>
      </c>
      <c r="N72" s="161">
        <f t="shared" ref="N72" si="49">IF(AND(N$5=1,$G72&lt;&gt;""),$G72-N71,IF(AND(N$5=2,$F72&lt;&gt;""),$F72-N71,0))</f>
        <v>0</v>
      </c>
      <c r="O72" s="161">
        <f t="shared" ref="O72" si="50">IF(AND(O$5=1,$G72&lt;&gt;""),$G72-O71,IF(AND(O$5=2,$F72&lt;&gt;""),$F72-O71,0))</f>
        <v>0</v>
      </c>
      <c r="P72" s="161">
        <f t="shared" ref="P72" si="51">IF(AND(P$5=1,$G72&lt;&gt;""),$G72-P71,IF(AND(P$5=2,$F72&lt;&gt;""),$F72-P71,0))</f>
        <v>0</v>
      </c>
      <c r="Q72" s="161">
        <f t="shared" ref="Q72" si="52">IF(AND(Q$5=1,$G72&lt;&gt;""),$G72-Q71,IF(AND(Q$5=2,$F72&lt;&gt;""),$F72-Q71,0))</f>
        <v>0</v>
      </c>
      <c r="R72" s="161">
        <f t="shared" ref="R72" si="53">IF(AND(R$5=1,$G72&lt;&gt;""),$G72-R71,IF(AND(R$5=2,$F72&lt;&gt;""),$F72-R71,0))</f>
        <v>0</v>
      </c>
      <c r="S72" s="161">
        <f t="shared" ref="S72" si="54">IF(AND(S$5=1,$G72&lt;&gt;""),$G72-S71,IF(AND(S$5=2,$F72&lt;&gt;""),$F72-S71,0))</f>
        <v>0</v>
      </c>
      <c r="T72" s="161">
        <f t="shared" ref="T72" si="55">IF(AND(T$5=1,$G72&lt;&gt;""),$G72-T71,IF(AND(T$5=2,$F72&lt;&gt;""),$F72-T71,0))</f>
        <v>0</v>
      </c>
      <c r="U72" s="161">
        <f t="shared" ref="U72" si="56">IF(AND(U$5=1,$G72&lt;&gt;""),$G72-U71,IF(AND(U$5=2,$F72&lt;&gt;""),$F72-U71,0))</f>
        <v>0</v>
      </c>
      <c r="V72" s="161">
        <f t="shared" ref="V72" si="57">IF(AND(V$5=1,$G72&lt;&gt;""),$G72-V71,IF(AND(V$5=2,$F72&lt;&gt;""),$F72-V71,0))</f>
        <v>0</v>
      </c>
      <c r="W72" s="161">
        <f t="shared" ref="W72" si="58">IF(AND(W$5=1,$G72&lt;&gt;""),$G72-W71,IF(AND(W$5=2,$F72&lt;&gt;""),$F72-W71,0))</f>
        <v>0</v>
      </c>
      <c r="X72" s="161">
        <f t="shared" ref="X72" si="59">IF(AND(X$5=1,$G72&lt;&gt;""),$G72-X71,IF(AND(X$5=2,$F72&lt;&gt;""),$F72-X71,0))</f>
        <v>0</v>
      </c>
      <c r="Y72" s="161">
        <f t="shared" ref="Y72" si="60">IF(AND(Y$5=1,$G72&lt;&gt;""),$G72-Y71,IF(AND(Y$5=2,$F72&lt;&gt;""),$F72-Y71,0))</f>
        <v>0</v>
      </c>
      <c r="Z72" s="161">
        <f t="shared" ref="Z72" si="61">IF(AND(Z$5=1,$G72&lt;&gt;""),$G72-Z71,IF(AND(Z$5=2,$F72&lt;&gt;""),$F72-Z71,0))</f>
        <v>0</v>
      </c>
      <c r="AA72" s="161">
        <f t="shared" ref="AA72" si="62">IF(AND(AA$5=1,$G72&lt;&gt;""),$G72-AA71,IF(AND(AA$5=2,$F72&lt;&gt;""),$F72-AA71,0))</f>
        <v>0</v>
      </c>
      <c r="AB72" s="161">
        <f t="shared" ref="AB72" si="63">IF(AND(AB$5=1,$G72&lt;&gt;""),$G72-AB71,IF(AND(AB$5=2,$F72&lt;&gt;""),$F72-AB71,0))</f>
        <v>0</v>
      </c>
      <c r="AC72" s="161">
        <f t="shared" ref="AC72" si="64">IF(AND(AC$5=1,$G72&lt;&gt;""),$G72-AC71,IF(AND(AC$5=2,$F72&lt;&gt;""),$F72-AC71,0))</f>
        <v>0</v>
      </c>
      <c r="AD72" s="161">
        <f t="shared" ref="AD72" si="65">IF(AND(AD$5=1,$G72&lt;&gt;""),$G72-AD71,IF(AND(AD$5=2,$F72&lt;&gt;""),$F72-AD71,0))</f>
        <v>0</v>
      </c>
      <c r="AE72" s="161">
        <f t="shared" ref="AE72" si="66">IF(AND(AE$5=1,$G72&lt;&gt;""),$G72-AE71,IF(AND(AE$5=2,$F72&lt;&gt;""),$F72-AE71,0))</f>
        <v>0</v>
      </c>
      <c r="AF72" s="161">
        <f t="shared" ref="AF72" si="67">IF(AND(AF$5=1,$G72&lt;&gt;""),$G72-AF71,IF(AND(AF$5=2,$F72&lt;&gt;""),$F72-AF71,0))</f>
        <v>0</v>
      </c>
      <c r="AG72" s="161">
        <f t="shared" ref="AG72" si="68">IF(AND(AG$5=1,$G72&lt;&gt;""),$G72-AG71,IF(AND(AG$5=2,$F72&lt;&gt;""),$F72-AG71,0))</f>
        <v>0</v>
      </c>
      <c r="AH72" s="161">
        <f t="shared" ref="AH72" si="69">IF(AND(AH$5=1,$G72&lt;&gt;""),$G72-AH71,IF(AND(AH$5=2,$F72&lt;&gt;""),$F72-AH71,0))</f>
        <v>0</v>
      </c>
      <c r="AI72" s="161">
        <f t="shared" ref="AI72" si="70">IF(AND(AI$5=1,$G72&lt;&gt;""),$G72-AI71,IF(AND(AI$5=2,$F72&lt;&gt;""),$F72-AI71,0))</f>
        <v>0</v>
      </c>
      <c r="AJ72" s="161">
        <f t="shared" ref="AJ72" si="71">IF(AND(AJ$5=1,$G72&lt;&gt;""),$G72-AJ71,IF(AND(AJ$5=2,$F72&lt;&gt;""),$F72-AJ71,0))</f>
        <v>0</v>
      </c>
      <c r="AK72" s="161">
        <f t="shared" ref="AK72" si="72">IF(AND(AK$5=1,$G72&lt;&gt;""),$G72-AK71,IF(AND(AK$5=2,$F72&lt;&gt;""),$F72-AK71,0))</f>
        <v>0</v>
      </c>
      <c r="AL72" s="161">
        <f t="shared" ref="AL72" si="73">IF(AND(AL$5=1,$G72&lt;&gt;""),$G72-AL71,IF(AND(AL$5=2,$F72&lt;&gt;""),$F72-AL71,0))</f>
        <v>0</v>
      </c>
      <c r="AM72" s="161">
        <f t="shared" ref="AM72" si="74">IF(AND(AM$5=1,$G72&lt;&gt;""),$G72-AM71,IF(AND(AM$5=2,$F72&lt;&gt;""),$F72-AM71,0))</f>
        <v>0</v>
      </c>
      <c r="AN72" s="161">
        <f t="shared" ref="AN72" si="75">IF(AND(AN$5=1,$G72&lt;&gt;""),$G72-AN71,IF(AND(AN$5=2,$F72&lt;&gt;""),$F72-AN71,0))</f>
        <v>0</v>
      </c>
      <c r="AO72" s="161">
        <f t="shared" ref="AO72" si="76">IF(AND(AO$5=1,$G72&lt;&gt;""),$G72-AO71,IF(AND(AO$5=2,$F72&lt;&gt;""),$F72-AO71,0))</f>
        <v>0</v>
      </c>
      <c r="AP72" s="161">
        <f t="shared" ref="AP72" si="77">IF(AND(AP$5=1,$G72&lt;&gt;""),$G72-AP71,IF(AND(AP$5=2,$F72&lt;&gt;""),$F72-AP71,0))</f>
        <v>0</v>
      </c>
      <c r="AQ72" s="161">
        <f t="shared" ref="AQ72" si="78">IF(AND(AQ$5=1,$G72&lt;&gt;""),$G72-AQ71,IF(AND(AQ$5=2,$F72&lt;&gt;""),$F72-AQ71,0))</f>
        <v>0</v>
      </c>
      <c r="AR72" s="161">
        <f t="shared" ref="AR72" si="79">IF(AND(AR$5=1,$G72&lt;&gt;""),$G72-AR71,IF(AND(AR$5=2,$F72&lt;&gt;""),$F72-AR71,0))</f>
        <v>0</v>
      </c>
      <c r="AS72" s="161">
        <f t="shared" ref="AS72" si="80">IF(AND(AS$5=1,$G72&lt;&gt;""),$G72-AS71,IF(AND(AS$5=2,$F72&lt;&gt;""),$F72-AS71,0))</f>
        <v>0</v>
      </c>
      <c r="AT72" s="161">
        <f t="shared" ref="AT72" si="81">IF(AND(AT$5=1,$G72&lt;&gt;""),$G72-AT71,IF(AND(AT$5=2,$F72&lt;&gt;""),$F72-AT71,0))</f>
        <v>0</v>
      </c>
      <c r="AU72" s="161">
        <f t="shared" ref="AU72" si="82">IF(AND(AU$5=1,$G72&lt;&gt;""),$G72-AU71,IF(AND(AU$5=2,$F72&lt;&gt;""),$F72-AU71,0))</f>
        <v>0</v>
      </c>
      <c r="AV72" s="161">
        <f t="shared" ref="AV72" si="83">IF(AND(AV$5=1,$G72&lt;&gt;""),$G72-AV71,IF(AND(AV$5=2,$F72&lt;&gt;""),$F72-AV71,0))</f>
        <v>0</v>
      </c>
      <c r="AW72" s="161">
        <f t="shared" ref="AW72" si="84">IF(AND(AW$5=1,$G72&lt;&gt;""),$G72-AW71,IF(AND(AW$5=2,$F72&lt;&gt;""),$F72-AW71,0))</f>
        <v>0</v>
      </c>
      <c r="AX72" s="161">
        <f t="shared" ref="AX72" si="85">IF(AND(AX$5=1,$G72&lt;&gt;""),$G72-AX71,IF(AND(AX$5=2,$F72&lt;&gt;""),$F72-AX71,0))</f>
        <v>0</v>
      </c>
      <c r="AY72" s="161">
        <f t="shared" ref="AY72" si="86">IF(AND(AY$5=1,$G72&lt;&gt;""),$G72-AY71,IF(AND(AY$5=2,$F72&lt;&gt;""),$F72-AY71,0))</f>
        <v>0</v>
      </c>
      <c r="AZ72" s="161">
        <f t="shared" ref="AZ72" si="87">IF(AND(AZ$5=1,$G72&lt;&gt;""),$G72-AZ71,IF(AND(AZ$5=2,$F72&lt;&gt;""),$F72-AZ71,0))</f>
        <v>0</v>
      </c>
      <c r="BA72" s="161">
        <f t="shared" ref="BA72" si="88">IF(AND(BA$5=1,$G72&lt;&gt;""),$G72-BA71,IF(AND(BA$5=2,$F72&lt;&gt;""),$F72-BA71,0))</f>
        <v>0</v>
      </c>
      <c r="BB72" s="161">
        <f t="shared" ref="BB72" si="89">IF(AND(BB$5=1,$G72&lt;&gt;""),$G72-BB71,IF(AND(BB$5=2,$F72&lt;&gt;""),$F72-BB71,0))</f>
        <v>0</v>
      </c>
      <c r="BC72" s="161">
        <f t="shared" ref="BC72" si="90">IF(AND(BC$5=1,$G72&lt;&gt;""),$G72-BC71,IF(AND(BC$5=2,$F72&lt;&gt;""),$F72-BC71,0))</f>
        <v>0</v>
      </c>
      <c r="BE72" s="75">
        <f t="shared" si="42"/>
        <v>0</v>
      </c>
      <c r="BF72" s="75">
        <f t="shared" si="40"/>
        <v>0</v>
      </c>
      <c r="BG72" s="75">
        <f t="shared" si="40"/>
        <v>0</v>
      </c>
      <c r="BH72" s="75">
        <f t="shared" si="40"/>
        <v>0</v>
      </c>
    </row>
    <row r="73" spans="2:60" ht="21" customHeight="1" x14ac:dyDescent="0.3">
      <c r="B73" s="60" t="str">
        <f>$B$28</f>
        <v>YOC</v>
      </c>
      <c r="C73" s="48">
        <f>IF(C$28="","",C$28)</f>
        <v>43922</v>
      </c>
      <c r="D73" s="48" t="str">
        <f>IF(D$28="","",D$28)</f>
        <v/>
      </c>
      <c r="E73" s="47">
        <f>IF(E$28="","",E$28)</f>
        <v>12</v>
      </c>
      <c r="F73" s="79">
        <f>IF(YOC_Include="Yes",YOC!C42,0)</f>
        <v>-22500</v>
      </c>
      <c r="G73" s="75"/>
      <c r="H73" s="75">
        <f>IFERROR(MIN(1,MAX(0,(EOMONTH(H$4,0)+1-$C73)/(EDATE($C73,$E73)-$C73)))*$F73/12+IF(AND(H$4&gt;=EOMONTH($C73,0),H$4&lt;=EOMONTH($C73,11)),$G73/12,0),0)</f>
        <v>0</v>
      </c>
      <c r="I73" s="75">
        <f t="shared" ref="I73:BC78" si="91">IFERROR(MIN(1,MAX(0,(EOMONTH(I$4,0)+1-$C73)/(EDATE($C73,$E73)-$C73)))*$F73/12+IF(AND(I$4&gt;=EOMONTH($C73,0),I$4&lt;=EOMONTH($C73,11)),$G73/12,0),0)</f>
        <v>0</v>
      </c>
      <c r="J73" s="75">
        <f t="shared" si="91"/>
        <v>0</v>
      </c>
      <c r="K73" s="75">
        <f t="shared" si="91"/>
        <v>0</v>
      </c>
      <c r="L73" s="75">
        <f t="shared" si="91"/>
        <v>0</v>
      </c>
      <c r="M73" s="75">
        <f t="shared" si="91"/>
        <v>0</v>
      </c>
      <c r="N73" s="75">
        <f t="shared" si="91"/>
        <v>0</v>
      </c>
      <c r="O73" s="75">
        <f t="shared" si="91"/>
        <v>0</v>
      </c>
      <c r="P73" s="75">
        <f t="shared" si="91"/>
        <v>0</v>
      </c>
      <c r="Q73" s="75">
        <f t="shared" si="91"/>
        <v>0</v>
      </c>
      <c r="R73" s="75">
        <f t="shared" si="91"/>
        <v>0</v>
      </c>
      <c r="S73" s="75">
        <f t="shared" si="91"/>
        <v>0</v>
      </c>
      <c r="T73" s="75">
        <f t="shared" si="91"/>
        <v>-154.10958904109589</v>
      </c>
      <c r="U73" s="75">
        <f t="shared" si="91"/>
        <v>-313.35616438356163</v>
      </c>
      <c r="V73" s="75">
        <f t="shared" si="91"/>
        <v>-467.46575342465752</v>
      </c>
      <c r="W73" s="75">
        <f t="shared" si="91"/>
        <v>-626.71232876712327</v>
      </c>
      <c r="X73" s="75">
        <f t="shared" si="91"/>
        <v>-785.95890410958907</v>
      </c>
      <c r="Y73" s="75">
        <f t="shared" si="91"/>
        <v>-940.06849315068496</v>
      </c>
      <c r="Z73" s="75">
        <f t="shared" si="91"/>
        <v>-1099.3150684931509</v>
      </c>
      <c r="AA73" s="75">
        <f t="shared" si="91"/>
        <v>-1253.4246575342465</v>
      </c>
      <c r="AB73" s="75">
        <f t="shared" si="91"/>
        <v>-1412.6712328767123</v>
      </c>
      <c r="AC73" s="75">
        <f t="shared" si="91"/>
        <v>-1571.9178082191781</v>
      </c>
      <c r="AD73" s="75">
        <f t="shared" si="91"/>
        <v>-1715.7534246575342</v>
      </c>
      <c r="AE73" s="75">
        <f t="shared" si="91"/>
        <v>-1875</v>
      </c>
      <c r="AF73" s="75">
        <f t="shared" si="91"/>
        <v>-1875</v>
      </c>
      <c r="AG73" s="75">
        <f t="shared" si="91"/>
        <v>-1875</v>
      </c>
      <c r="AH73" s="75">
        <f t="shared" si="91"/>
        <v>-1875</v>
      </c>
      <c r="AI73" s="75">
        <f t="shared" si="91"/>
        <v>-1875</v>
      </c>
      <c r="AJ73" s="75">
        <f t="shared" si="91"/>
        <v>-1875</v>
      </c>
      <c r="AK73" s="75">
        <f t="shared" si="91"/>
        <v>-1875</v>
      </c>
      <c r="AL73" s="75">
        <f t="shared" si="91"/>
        <v>-1875</v>
      </c>
      <c r="AM73" s="75">
        <f t="shared" si="91"/>
        <v>-1875</v>
      </c>
      <c r="AN73" s="75">
        <f t="shared" si="91"/>
        <v>-1875</v>
      </c>
      <c r="AO73" s="75">
        <f t="shared" si="91"/>
        <v>-1875</v>
      </c>
      <c r="AP73" s="75">
        <f t="shared" si="91"/>
        <v>-1875</v>
      </c>
      <c r="AQ73" s="75">
        <f t="shared" si="91"/>
        <v>-1875</v>
      </c>
      <c r="AR73" s="75">
        <f t="shared" si="91"/>
        <v>-1875</v>
      </c>
      <c r="AS73" s="75">
        <f t="shared" si="91"/>
        <v>-1875</v>
      </c>
      <c r="AT73" s="75">
        <f t="shared" si="91"/>
        <v>-1875</v>
      </c>
      <c r="AU73" s="75">
        <f t="shared" si="91"/>
        <v>-1875</v>
      </c>
      <c r="AV73" s="75">
        <f t="shared" si="91"/>
        <v>-1875</v>
      </c>
      <c r="AW73" s="75">
        <f t="shared" si="91"/>
        <v>-1875</v>
      </c>
      <c r="AX73" s="75">
        <f t="shared" si="91"/>
        <v>-1875</v>
      </c>
      <c r="AY73" s="75">
        <f t="shared" si="91"/>
        <v>-1875</v>
      </c>
      <c r="AZ73" s="75">
        <f t="shared" si="91"/>
        <v>-1875</v>
      </c>
      <c r="BA73" s="75">
        <f t="shared" si="91"/>
        <v>-1875</v>
      </c>
      <c r="BB73" s="75">
        <f t="shared" si="91"/>
        <v>-1875</v>
      </c>
      <c r="BC73" s="75">
        <f t="shared" si="91"/>
        <v>-1875</v>
      </c>
      <c r="BD73" s="61"/>
      <c r="BE73" s="75">
        <f t="shared" si="42"/>
        <v>0</v>
      </c>
      <c r="BF73" s="75">
        <f t="shared" si="40"/>
        <v>-12215.753424657534</v>
      </c>
      <c r="BG73" s="75">
        <f t="shared" si="40"/>
        <v>-22500</v>
      </c>
      <c r="BH73" s="75">
        <f t="shared" si="40"/>
        <v>-22500</v>
      </c>
    </row>
    <row r="74" spans="2:60" ht="21" customHeight="1" x14ac:dyDescent="0.3">
      <c r="B74" s="60" t="str">
        <f>$B$29</f>
        <v>Extended hours</v>
      </c>
      <c r="C74" s="48">
        <f>IF(C$29="","",C$29)</f>
        <v>43922</v>
      </c>
      <c r="D74" s="48" t="str">
        <f>IF(D$29="","",D$29)</f>
        <v/>
      </c>
      <c r="E74" s="47">
        <f>IF(E$29="","",E$29)</f>
        <v>1</v>
      </c>
      <c r="F74" s="79"/>
      <c r="G74" s="75"/>
      <c r="H74" s="75">
        <f>IFERROR(MIN(1,MAX(0,(EOMONTH(H$4,0)+1-$C74)/(EDATE($C74,$E74)-$C74)))*$F74/12+IF(AND(H$4&gt;=EOMONTH($C74,0),H$4&lt;=EOMONTH($C74,11)),$G74/12,0),0)</f>
        <v>0</v>
      </c>
      <c r="I74" s="75">
        <f t="shared" si="91"/>
        <v>0</v>
      </c>
      <c r="J74" s="75">
        <f t="shared" si="91"/>
        <v>0</v>
      </c>
      <c r="K74" s="75">
        <f t="shared" si="91"/>
        <v>0</v>
      </c>
      <c r="L74" s="75">
        <f t="shared" si="91"/>
        <v>0</v>
      </c>
      <c r="M74" s="75">
        <f t="shared" si="91"/>
        <v>0</v>
      </c>
      <c r="N74" s="75">
        <f t="shared" si="91"/>
        <v>0</v>
      </c>
      <c r="O74" s="75">
        <f t="shared" si="91"/>
        <v>0</v>
      </c>
      <c r="P74" s="75">
        <f t="shared" si="91"/>
        <v>0</v>
      </c>
      <c r="Q74" s="75">
        <f t="shared" si="91"/>
        <v>0</v>
      </c>
      <c r="R74" s="75">
        <f t="shared" si="91"/>
        <v>0</v>
      </c>
      <c r="S74" s="75">
        <f t="shared" si="91"/>
        <v>0</v>
      </c>
      <c r="T74" s="75">
        <f t="shared" si="91"/>
        <v>0</v>
      </c>
      <c r="U74" s="75">
        <f t="shared" si="91"/>
        <v>0</v>
      </c>
      <c r="V74" s="75">
        <f t="shared" si="91"/>
        <v>0</v>
      </c>
      <c r="W74" s="75">
        <f t="shared" si="91"/>
        <v>0</v>
      </c>
      <c r="X74" s="75">
        <f t="shared" si="91"/>
        <v>0</v>
      </c>
      <c r="Y74" s="75">
        <f t="shared" si="91"/>
        <v>0</v>
      </c>
      <c r="Z74" s="75">
        <f t="shared" si="91"/>
        <v>0</v>
      </c>
      <c r="AA74" s="75">
        <f t="shared" si="91"/>
        <v>0</v>
      </c>
      <c r="AB74" s="75">
        <f t="shared" si="91"/>
        <v>0</v>
      </c>
      <c r="AC74" s="75">
        <f t="shared" si="91"/>
        <v>0</v>
      </c>
      <c r="AD74" s="75">
        <f t="shared" si="91"/>
        <v>0</v>
      </c>
      <c r="AE74" s="75">
        <f t="shared" si="91"/>
        <v>0</v>
      </c>
      <c r="AF74" s="75">
        <f t="shared" si="91"/>
        <v>0</v>
      </c>
      <c r="AG74" s="75">
        <f t="shared" si="91"/>
        <v>0</v>
      </c>
      <c r="AH74" s="75">
        <f t="shared" si="91"/>
        <v>0</v>
      </c>
      <c r="AI74" s="75">
        <f t="shared" si="91"/>
        <v>0</v>
      </c>
      <c r="AJ74" s="75">
        <f t="shared" si="91"/>
        <v>0</v>
      </c>
      <c r="AK74" s="75">
        <f t="shared" si="91"/>
        <v>0</v>
      </c>
      <c r="AL74" s="75">
        <f t="shared" si="91"/>
        <v>0</v>
      </c>
      <c r="AM74" s="75">
        <f t="shared" si="91"/>
        <v>0</v>
      </c>
      <c r="AN74" s="75">
        <f t="shared" si="91"/>
        <v>0</v>
      </c>
      <c r="AO74" s="75">
        <f t="shared" si="91"/>
        <v>0</v>
      </c>
      <c r="AP74" s="75">
        <f t="shared" si="91"/>
        <v>0</v>
      </c>
      <c r="AQ74" s="75">
        <f t="shared" si="91"/>
        <v>0</v>
      </c>
      <c r="AR74" s="75">
        <f t="shared" si="91"/>
        <v>0</v>
      </c>
      <c r="AS74" s="75">
        <f t="shared" si="91"/>
        <v>0</v>
      </c>
      <c r="AT74" s="75">
        <f t="shared" si="91"/>
        <v>0</v>
      </c>
      <c r="AU74" s="75">
        <f t="shared" si="91"/>
        <v>0</v>
      </c>
      <c r="AV74" s="75">
        <f t="shared" si="91"/>
        <v>0</v>
      </c>
      <c r="AW74" s="75">
        <f t="shared" si="91"/>
        <v>0</v>
      </c>
      <c r="AX74" s="75">
        <f t="shared" si="91"/>
        <v>0</v>
      </c>
      <c r="AY74" s="75">
        <f t="shared" si="91"/>
        <v>0</v>
      </c>
      <c r="AZ74" s="75">
        <f t="shared" si="91"/>
        <v>0</v>
      </c>
      <c r="BA74" s="75">
        <f t="shared" si="91"/>
        <v>0</v>
      </c>
      <c r="BB74" s="75">
        <f t="shared" si="91"/>
        <v>0</v>
      </c>
      <c r="BC74" s="75">
        <f t="shared" si="91"/>
        <v>0</v>
      </c>
      <c r="BD74" s="61"/>
      <c r="BE74" s="75">
        <f t="shared" si="42"/>
        <v>0</v>
      </c>
      <c r="BF74" s="75">
        <f t="shared" si="40"/>
        <v>0</v>
      </c>
      <c r="BG74" s="75">
        <f t="shared" si="40"/>
        <v>0</v>
      </c>
      <c r="BH74" s="75">
        <f t="shared" si="40"/>
        <v>0</v>
      </c>
    </row>
    <row r="75" spans="2:60" ht="21" customHeight="1" x14ac:dyDescent="0.3">
      <c r="B75" s="60" t="str">
        <f>$B$30</f>
        <v>Multi-discliplinary Team Meetings</v>
      </c>
      <c r="C75" s="48">
        <f>IF(C$30="","",C$30)</f>
        <v>43922</v>
      </c>
      <c r="D75" s="48" t="str">
        <f>IF(D$30="","",D$30)</f>
        <v/>
      </c>
      <c r="E75" s="47">
        <f>IF(E$30="","",E$30)</f>
        <v>6</v>
      </c>
      <c r="F75" s="79">
        <f>MDT!C32</f>
        <v>720</v>
      </c>
      <c r="G75" s="75"/>
      <c r="H75" s="75">
        <f>IFERROR(MIN(1,MAX(0,(EOMONTH(H$4,0)+1-$C75)/(EDATE($C75,$E75)-$C75)))*$F75/12+IF(AND(H$4&gt;=EOMONTH($C75,0),H$4&lt;=EOMONTH($C75,11)),$G75/12,0),0)</f>
        <v>0</v>
      </c>
      <c r="I75" s="75">
        <f t="shared" si="91"/>
        <v>0</v>
      </c>
      <c r="J75" s="75">
        <f t="shared" si="91"/>
        <v>0</v>
      </c>
      <c r="K75" s="75">
        <f t="shared" si="91"/>
        <v>0</v>
      </c>
      <c r="L75" s="75">
        <f t="shared" si="91"/>
        <v>0</v>
      </c>
      <c r="M75" s="75">
        <f t="shared" si="91"/>
        <v>0</v>
      </c>
      <c r="N75" s="75">
        <f t="shared" si="91"/>
        <v>0</v>
      </c>
      <c r="O75" s="75">
        <f t="shared" si="91"/>
        <v>0</v>
      </c>
      <c r="P75" s="75">
        <f t="shared" si="91"/>
        <v>0</v>
      </c>
      <c r="Q75" s="75">
        <f t="shared" si="91"/>
        <v>0</v>
      </c>
      <c r="R75" s="75">
        <f t="shared" si="91"/>
        <v>0</v>
      </c>
      <c r="S75" s="75">
        <f t="shared" si="91"/>
        <v>0</v>
      </c>
      <c r="T75" s="75">
        <f t="shared" si="91"/>
        <v>9.8360655737704921</v>
      </c>
      <c r="U75" s="75">
        <f t="shared" si="91"/>
        <v>20</v>
      </c>
      <c r="V75" s="75">
        <f t="shared" si="91"/>
        <v>29.836065573770494</v>
      </c>
      <c r="W75" s="75">
        <f t="shared" si="91"/>
        <v>40</v>
      </c>
      <c r="X75" s="75">
        <f t="shared" si="91"/>
        <v>50.16393442622951</v>
      </c>
      <c r="Y75" s="75">
        <f t="shared" si="91"/>
        <v>60</v>
      </c>
      <c r="Z75" s="75">
        <f t="shared" si="91"/>
        <v>60</v>
      </c>
      <c r="AA75" s="75">
        <f t="shared" si="91"/>
        <v>60</v>
      </c>
      <c r="AB75" s="75">
        <f t="shared" si="91"/>
        <v>60</v>
      </c>
      <c r="AC75" s="75">
        <f t="shared" si="91"/>
        <v>60</v>
      </c>
      <c r="AD75" s="75">
        <f t="shared" si="91"/>
        <v>60</v>
      </c>
      <c r="AE75" s="75">
        <f t="shared" si="91"/>
        <v>60</v>
      </c>
      <c r="AF75" s="75">
        <f t="shared" si="91"/>
        <v>60</v>
      </c>
      <c r="AG75" s="75">
        <f t="shared" si="91"/>
        <v>60</v>
      </c>
      <c r="AH75" s="75">
        <f t="shared" si="91"/>
        <v>60</v>
      </c>
      <c r="AI75" s="75">
        <f t="shared" si="91"/>
        <v>60</v>
      </c>
      <c r="AJ75" s="75">
        <f t="shared" si="91"/>
        <v>60</v>
      </c>
      <c r="AK75" s="75">
        <f t="shared" si="91"/>
        <v>60</v>
      </c>
      <c r="AL75" s="75">
        <f t="shared" si="91"/>
        <v>60</v>
      </c>
      <c r="AM75" s="75">
        <f t="shared" si="91"/>
        <v>60</v>
      </c>
      <c r="AN75" s="75">
        <f t="shared" si="91"/>
        <v>60</v>
      </c>
      <c r="AO75" s="75">
        <f t="shared" si="91"/>
        <v>60</v>
      </c>
      <c r="AP75" s="75">
        <f t="shared" si="91"/>
        <v>60</v>
      </c>
      <c r="AQ75" s="75">
        <f t="shared" si="91"/>
        <v>60</v>
      </c>
      <c r="AR75" s="75">
        <f t="shared" si="91"/>
        <v>60</v>
      </c>
      <c r="AS75" s="75">
        <f t="shared" si="91"/>
        <v>60</v>
      </c>
      <c r="AT75" s="75">
        <f t="shared" si="91"/>
        <v>60</v>
      </c>
      <c r="AU75" s="75">
        <f t="shared" si="91"/>
        <v>60</v>
      </c>
      <c r="AV75" s="75">
        <f t="shared" si="91"/>
        <v>60</v>
      </c>
      <c r="AW75" s="75">
        <f t="shared" si="91"/>
        <v>60</v>
      </c>
      <c r="AX75" s="75">
        <f t="shared" si="91"/>
        <v>60</v>
      </c>
      <c r="AY75" s="75">
        <f t="shared" si="91"/>
        <v>60</v>
      </c>
      <c r="AZ75" s="75">
        <f t="shared" si="91"/>
        <v>60</v>
      </c>
      <c r="BA75" s="75">
        <f t="shared" si="91"/>
        <v>60</v>
      </c>
      <c r="BB75" s="75">
        <f t="shared" si="91"/>
        <v>60</v>
      </c>
      <c r="BC75" s="75">
        <f t="shared" si="91"/>
        <v>60</v>
      </c>
      <c r="BD75" s="61"/>
      <c r="BE75" s="75">
        <f t="shared" si="42"/>
        <v>0</v>
      </c>
      <c r="BF75" s="75">
        <f t="shared" si="40"/>
        <v>569.8360655737705</v>
      </c>
      <c r="BG75" s="75">
        <f t="shared" si="40"/>
        <v>720</v>
      </c>
      <c r="BH75" s="75">
        <f t="shared" si="40"/>
        <v>720</v>
      </c>
    </row>
    <row r="76" spans="2:60" ht="21" customHeight="1" x14ac:dyDescent="0.3">
      <c r="B76" s="60" t="str">
        <f>$B$31</f>
        <v>Huddles</v>
      </c>
      <c r="C76" s="48">
        <f>IF(C$31="","",C$31)</f>
        <v>43922</v>
      </c>
      <c r="D76" s="48" t="str">
        <f>IF(D$31="","",D$31)</f>
        <v/>
      </c>
      <c r="E76" s="47">
        <f>IF(E$31="","",E$31)</f>
        <v>1</v>
      </c>
      <c r="F76" s="79">
        <f>Huddles!C36</f>
        <v>22152</v>
      </c>
      <c r="G76" s="75"/>
      <c r="H76" s="75">
        <f>IFERROR(MIN(1,MAX(0,(EOMONTH(H$4,0)+1-$C76)/(EDATE($C76,$E76)-$C76)))*$F76/12+IF(AND(H$4&gt;=EOMONTH($C76,0),H$4&lt;=EOMONTH($C76,11)),$G76/12,0),0)</f>
        <v>0</v>
      </c>
      <c r="I76" s="75">
        <f t="shared" si="91"/>
        <v>0</v>
      </c>
      <c r="J76" s="75">
        <f t="shared" si="91"/>
        <v>0</v>
      </c>
      <c r="K76" s="75">
        <f t="shared" si="91"/>
        <v>0</v>
      </c>
      <c r="L76" s="75">
        <f t="shared" si="91"/>
        <v>0</v>
      </c>
      <c r="M76" s="75">
        <f t="shared" si="91"/>
        <v>0</v>
      </c>
      <c r="N76" s="75">
        <f t="shared" si="91"/>
        <v>0</v>
      </c>
      <c r="O76" s="75">
        <f t="shared" si="91"/>
        <v>0</v>
      </c>
      <c r="P76" s="75">
        <f t="shared" si="91"/>
        <v>0</v>
      </c>
      <c r="Q76" s="75">
        <f t="shared" si="91"/>
        <v>0</v>
      </c>
      <c r="R76" s="75">
        <f t="shared" si="91"/>
        <v>0</v>
      </c>
      <c r="S76" s="75">
        <f t="shared" si="91"/>
        <v>0</v>
      </c>
      <c r="T76" s="75">
        <f t="shared" si="91"/>
        <v>1846</v>
      </c>
      <c r="U76" s="75">
        <f t="shared" si="91"/>
        <v>1846</v>
      </c>
      <c r="V76" s="75">
        <f t="shared" si="91"/>
        <v>1846</v>
      </c>
      <c r="W76" s="75">
        <f t="shared" si="91"/>
        <v>1846</v>
      </c>
      <c r="X76" s="75">
        <f t="shared" si="91"/>
        <v>1846</v>
      </c>
      <c r="Y76" s="75">
        <f t="shared" si="91"/>
        <v>1846</v>
      </c>
      <c r="Z76" s="75">
        <f t="shared" si="91"/>
        <v>1846</v>
      </c>
      <c r="AA76" s="75">
        <f t="shared" si="91"/>
        <v>1846</v>
      </c>
      <c r="AB76" s="75">
        <f t="shared" si="91"/>
        <v>1846</v>
      </c>
      <c r="AC76" s="75">
        <f t="shared" si="91"/>
        <v>1846</v>
      </c>
      <c r="AD76" s="75">
        <f t="shared" si="91"/>
        <v>1846</v>
      </c>
      <c r="AE76" s="75">
        <f t="shared" si="91"/>
        <v>1846</v>
      </c>
      <c r="AF76" s="75">
        <f t="shared" si="91"/>
        <v>1846</v>
      </c>
      <c r="AG76" s="75">
        <f t="shared" si="91"/>
        <v>1846</v>
      </c>
      <c r="AH76" s="75">
        <f t="shared" si="91"/>
        <v>1846</v>
      </c>
      <c r="AI76" s="75">
        <f t="shared" si="91"/>
        <v>1846</v>
      </c>
      <c r="AJ76" s="75">
        <f t="shared" si="91"/>
        <v>1846</v>
      </c>
      <c r="AK76" s="75">
        <f t="shared" si="91"/>
        <v>1846</v>
      </c>
      <c r="AL76" s="75">
        <f t="shared" si="91"/>
        <v>1846</v>
      </c>
      <c r="AM76" s="75">
        <f t="shared" si="91"/>
        <v>1846</v>
      </c>
      <c r="AN76" s="75">
        <f t="shared" si="91"/>
        <v>1846</v>
      </c>
      <c r="AO76" s="75">
        <f t="shared" si="91"/>
        <v>1846</v>
      </c>
      <c r="AP76" s="75">
        <f t="shared" si="91"/>
        <v>1846</v>
      </c>
      <c r="AQ76" s="75">
        <f t="shared" si="91"/>
        <v>1846</v>
      </c>
      <c r="AR76" s="75">
        <f t="shared" si="91"/>
        <v>1846</v>
      </c>
      <c r="AS76" s="75">
        <f t="shared" si="91"/>
        <v>1846</v>
      </c>
      <c r="AT76" s="75">
        <f t="shared" si="91"/>
        <v>1846</v>
      </c>
      <c r="AU76" s="75">
        <f t="shared" si="91"/>
        <v>1846</v>
      </c>
      <c r="AV76" s="75">
        <f t="shared" si="91"/>
        <v>1846</v>
      </c>
      <c r="AW76" s="75">
        <f t="shared" si="91"/>
        <v>1846</v>
      </c>
      <c r="AX76" s="75">
        <f t="shared" si="91"/>
        <v>1846</v>
      </c>
      <c r="AY76" s="75">
        <f t="shared" si="91"/>
        <v>1846</v>
      </c>
      <c r="AZ76" s="75">
        <f t="shared" si="91"/>
        <v>1846</v>
      </c>
      <c r="BA76" s="75">
        <f t="shared" si="91"/>
        <v>1846</v>
      </c>
      <c r="BB76" s="75">
        <f t="shared" si="91"/>
        <v>1846</v>
      </c>
      <c r="BC76" s="75">
        <f t="shared" si="91"/>
        <v>1846</v>
      </c>
      <c r="BD76" s="61"/>
      <c r="BE76" s="75">
        <f t="shared" si="42"/>
        <v>0</v>
      </c>
      <c r="BF76" s="75">
        <f t="shared" si="40"/>
        <v>22152</v>
      </c>
      <c r="BG76" s="75">
        <f t="shared" si="40"/>
        <v>22152</v>
      </c>
      <c r="BH76" s="75">
        <f t="shared" si="40"/>
        <v>22152</v>
      </c>
    </row>
    <row r="77" spans="2:60" ht="21" customHeight="1" x14ac:dyDescent="0.3">
      <c r="B77" s="60" t="str">
        <f>$B$32</f>
        <v>Health Care Assistants</v>
      </c>
      <c r="C77" s="48">
        <f>IF(C$32="","",C$32)</f>
        <v>43922</v>
      </c>
      <c r="D77" s="48" t="str">
        <f>IF(D$32="","",D$32)</f>
        <v/>
      </c>
      <c r="E77" s="47">
        <f>IF(E$32="","",E$32)</f>
        <v>6</v>
      </c>
      <c r="F77" s="79"/>
      <c r="G77" s="75"/>
      <c r="H77" s="75">
        <f>IFERROR(MIN(1,MAX(0,(EOMONTH(H$4,0)+1-$C77)/(EDATE($C77,$E77)-$C77)))*$F77/12+IF(AND(H$4&gt;=EOMONTH($C77,0),H$4&lt;=EOMONTH($C77,11)),$G77/12,0),0)</f>
        <v>0</v>
      </c>
      <c r="I77" s="75">
        <f t="shared" si="91"/>
        <v>0</v>
      </c>
      <c r="J77" s="75">
        <f t="shared" si="91"/>
        <v>0</v>
      </c>
      <c r="K77" s="75">
        <f t="shared" si="91"/>
        <v>0</v>
      </c>
      <c r="L77" s="75">
        <f t="shared" si="91"/>
        <v>0</v>
      </c>
      <c r="M77" s="75">
        <f t="shared" si="91"/>
        <v>0</v>
      </c>
      <c r="N77" s="75">
        <f t="shared" si="91"/>
        <v>0</v>
      </c>
      <c r="O77" s="75">
        <f t="shared" si="91"/>
        <v>0</v>
      </c>
      <c r="P77" s="75">
        <f t="shared" si="91"/>
        <v>0</v>
      </c>
      <c r="Q77" s="75">
        <f t="shared" si="91"/>
        <v>0</v>
      </c>
      <c r="R77" s="75">
        <f t="shared" si="91"/>
        <v>0</v>
      </c>
      <c r="S77" s="75">
        <f t="shared" si="91"/>
        <v>0</v>
      </c>
      <c r="T77" s="75">
        <f t="shared" si="91"/>
        <v>0</v>
      </c>
      <c r="U77" s="75">
        <f t="shared" si="91"/>
        <v>0</v>
      </c>
      <c r="V77" s="75">
        <f t="shared" si="91"/>
        <v>0</v>
      </c>
      <c r="W77" s="75">
        <f t="shared" si="91"/>
        <v>0</v>
      </c>
      <c r="X77" s="75">
        <f t="shared" si="91"/>
        <v>0</v>
      </c>
      <c r="Y77" s="75">
        <f t="shared" si="91"/>
        <v>0</v>
      </c>
      <c r="Z77" s="75">
        <f t="shared" si="91"/>
        <v>0</v>
      </c>
      <c r="AA77" s="75">
        <f t="shared" si="91"/>
        <v>0</v>
      </c>
      <c r="AB77" s="75">
        <f t="shared" si="91"/>
        <v>0</v>
      </c>
      <c r="AC77" s="75">
        <f t="shared" si="91"/>
        <v>0</v>
      </c>
      <c r="AD77" s="75">
        <f t="shared" si="91"/>
        <v>0</v>
      </c>
      <c r="AE77" s="75">
        <f t="shared" si="91"/>
        <v>0</v>
      </c>
      <c r="AF77" s="75">
        <f t="shared" si="91"/>
        <v>0</v>
      </c>
      <c r="AG77" s="75">
        <f t="shared" si="91"/>
        <v>0</v>
      </c>
      <c r="AH77" s="75">
        <f t="shared" si="91"/>
        <v>0</v>
      </c>
      <c r="AI77" s="75">
        <f t="shared" si="91"/>
        <v>0</v>
      </c>
      <c r="AJ77" s="75">
        <f t="shared" si="91"/>
        <v>0</v>
      </c>
      <c r="AK77" s="75">
        <f t="shared" si="91"/>
        <v>0</v>
      </c>
      <c r="AL77" s="75">
        <f t="shared" si="91"/>
        <v>0</v>
      </c>
      <c r="AM77" s="75">
        <f t="shared" si="91"/>
        <v>0</v>
      </c>
      <c r="AN77" s="75">
        <f t="shared" si="91"/>
        <v>0</v>
      </c>
      <c r="AO77" s="75">
        <f t="shared" si="91"/>
        <v>0</v>
      </c>
      <c r="AP77" s="75">
        <f t="shared" si="91"/>
        <v>0</v>
      </c>
      <c r="AQ77" s="75">
        <f t="shared" si="91"/>
        <v>0</v>
      </c>
      <c r="AR77" s="75">
        <f t="shared" si="91"/>
        <v>0</v>
      </c>
      <c r="AS77" s="75">
        <f t="shared" si="91"/>
        <v>0</v>
      </c>
      <c r="AT77" s="75">
        <f t="shared" si="91"/>
        <v>0</v>
      </c>
      <c r="AU77" s="75">
        <f t="shared" si="91"/>
        <v>0</v>
      </c>
      <c r="AV77" s="75">
        <f t="shared" si="91"/>
        <v>0</v>
      </c>
      <c r="AW77" s="75">
        <f t="shared" si="91"/>
        <v>0</v>
      </c>
      <c r="AX77" s="75">
        <f t="shared" si="91"/>
        <v>0</v>
      </c>
      <c r="AY77" s="75">
        <f t="shared" si="91"/>
        <v>0</v>
      </c>
      <c r="AZ77" s="75">
        <f t="shared" si="91"/>
        <v>0</v>
      </c>
      <c r="BA77" s="75">
        <f t="shared" si="91"/>
        <v>0</v>
      </c>
      <c r="BB77" s="75">
        <f t="shared" si="91"/>
        <v>0</v>
      </c>
      <c r="BC77" s="75">
        <f t="shared" si="91"/>
        <v>0</v>
      </c>
      <c r="BD77" s="61"/>
      <c r="BE77" s="75">
        <f t="shared" si="42"/>
        <v>0</v>
      </c>
      <c r="BF77" s="75">
        <f t="shared" si="40"/>
        <v>0</v>
      </c>
      <c r="BG77" s="75">
        <f t="shared" si="40"/>
        <v>0</v>
      </c>
      <c r="BH77" s="75">
        <f t="shared" si="40"/>
        <v>0</v>
      </c>
    </row>
    <row r="78" spans="2:60" ht="21" customHeight="1" x14ac:dyDescent="0.3">
      <c r="B78" s="60" t="str">
        <f>$B$33</f>
        <v>Patient portals</v>
      </c>
      <c r="C78" s="48">
        <f>IF(C$33="","",C$33)</f>
        <v>43922</v>
      </c>
      <c r="D78" s="48" t="str">
        <f>IF(D$33="","",D$33)</f>
        <v/>
      </c>
      <c r="E78" s="47">
        <f>IF(E$33="","",E$33)</f>
        <v>36</v>
      </c>
      <c r="F78" s="79">
        <f>'Patient Portal'!C15</f>
        <v>25740.000000000007</v>
      </c>
      <c r="G78" s="75"/>
      <c r="H78" s="75">
        <f>IFERROR(MIN(1,MAX(0,(EOMONTH(H$4,0)+1-$C78)/(EDATE($C78,$E78)-$C78)))*$F78/12+IF(AND(H$4&gt;=EOMONTH($C78,0),H$4&lt;=EOMONTH($C78,11)),$G78/12,0),0)</f>
        <v>0</v>
      </c>
      <c r="I78" s="75">
        <f t="shared" si="91"/>
        <v>0</v>
      </c>
      <c r="J78" s="75">
        <f t="shared" si="91"/>
        <v>0</v>
      </c>
      <c r="K78" s="75">
        <f t="shared" si="91"/>
        <v>0</v>
      </c>
      <c r="L78" s="75">
        <f t="shared" si="91"/>
        <v>0</v>
      </c>
      <c r="M78" s="75">
        <f t="shared" si="91"/>
        <v>0</v>
      </c>
      <c r="N78" s="75">
        <f t="shared" si="91"/>
        <v>0</v>
      </c>
      <c r="O78" s="75">
        <f t="shared" si="91"/>
        <v>0</v>
      </c>
      <c r="P78" s="75">
        <f t="shared" si="91"/>
        <v>0</v>
      </c>
      <c r="Q78" s="75">
        <f t="shared" si="91"/>
        <v>0</v>
      </c>
      <c r="R78" s="75">
        <f t="shared" si="91"/>
        <v>0</v>
      </c>
      <c r="S78" s="75">
        <f t="shared" si="91"/>
        <v>0</v>
      </c>
      <c r="T78" s="75">
        <f t="shared" si="91"/>
        <v>58.767123287671247</v>
      </c>
      <c r="U78" s="75">
        <f t="shared" si="91"/>
        <v>119.49315068493155</v>
      </c>
      <c r="V78" s="75">
        <f t="shared" si="91"/>
        <v>178.26027397260279</v>
      </c>
      <c r="W78" s="75">
        <f t="shared" si="91"/>
        <v>238.9863013698631</v>
      </c>
      <c r="X78" s="75">
        <f t="shared" si="91"/>
        <v>299.71232876712338</v>
      </c>
      <c r="Y78" s="75">
        <f t="shared" si="91"/>
        <v>358.47945205479465</v>
      </c>
      <c r="Z78" s="75">
        <f t="shared" si="91"/>
        <v>419.20547945205493</v>
      </c>
      <c r="AA78" s="75">
        <f t="shared" si="91"/>
        <v>477.9726027397262</v>
      </c>
      <c r="AB78" s="75">
        <f t="shared" si="91"/>
        <v>538.69863013698648</v>
      </c>
      <c r="AC78" s="75">
        <f t="shared" ref="AC78:BC78" si="92">IFERROR(MIN(1,MAX(0,(EOMONTH(AC$4,0)+1-$C78)/(EDATE($C78,$E78)-$C78)))*$F78/12+IF(AND(AC$4&gt;=EOMONTH($C78,0),AC$4&lt;=EOMONTH($C78,11)),$G78/12,0),0)</f>
        <v>599.42465753424676</v>
      </c>
      <c r="AD78" s="75">
        <f t="shared" si="92"/>
        <v>654.27397260273995</v>
      </c>
      <c r="AE78" s="75">
        <f t="shared" si="92"/>
        <v>715.00000000000011</v>
      </c>
      <c r="AF78" s="75">
        <f t="shared" si="92"/>
        <v>773.76712328767144</v>
      </c>
      <c r="AG78" s="75">
        <f t="shared" si="92"/>
        <v>834.49315068493172</v>
      </c>
      <c r="AH78" s="75">
        <f t="shared" si="92"/>
        <v>893.26027397260304</v>
      </c>
      <c r="AI78" s="75">
        <f t="shared" si="92"/>
        <v>953.98630136986321</v>
      </c>
      <c r="AJ78" s="75">
        <f t="shared" si="92"/>
        <v>1014.7123287671237</v>
      </c>
      <c r="AK78" s="75">
        <f t="shared" si="92"/>
        <v>1073.4794520547948</v>
      </c>
      <c r="AL78" s="75">
        <f t="shared" si="92"/>
        <v>1134.2054794520552</v>
      </c>
      <c r="AM78" s="75">
        <f t="shared" si="92"/>
        <v>1192.9726027397264</v>
      </c>
      <c r="AN78" s="75">
        <f t="shared" si="92"/>
        <v>1253.6986301369866</v>
      </c>
      <c r="AO78" s="75">
        <f t="shared" si="92"/>
        <v>1314.424657534247</v>
      </c>
      <c r="AP78" s="75">
        <f t="shared" si="92"/>
        <v>1369.2739726027403</v>
      </c>
      <c r="AQ78" s="75">
        <f t="shared" si="92"/>
        <v>1430.0000000000002</v>
      </c>
      <c r="AR78" s="75">
        <f t="shared" si="92"/>
        <v>1488.7671232876717</v>
      </c>
      <c r="AS78" s="75">
        <f t="shared" si="92"/>
        <v>1549.4931506849318</v>
      </c>
      <c r="AT78" s="75">
        <f t="shared" si="92"/>
        <v>1608.2602739726033</v>
      </c>
      <c r="AU78" s="75">
        <f t="shared" si="92"/>
        <v>1668.9863013698634</v>
      </c>
      <c r="AV78" s="75">
        <f t="shared" si="92"/>
        <v>1729.7123287671238</v>
      </c>
      <c r="AW78" s="75">
        <f t="shared" si="92"/>
        <v>1788.479452054795</v>
      </c>
      <c r="AX78" s="75">
        <f t="shared" si="92"/>
        <v>1849.2054794520552</v>
      </c>
      <c r="AY78" s="75">
        <f t="shared" si="92"/>
        <v>1907.9726027397264</v>
      </c>
      <c r="AZ78" s="75">
        <f t="shared" si="92"/>
        <v>1968.6986301369868</v>
      </c>
      <c r="BA78" s="75">
        <f t="shared" si="92"/>
        <v>2029.4246575342474</v>
      </c>
      <c r="BB78" s="75">
        <f t="shared" si="92"/>
        <v>2084.2739726027403</v>
      </c>
      <c r="BC78" s="75">
        <f t="shared" si="92"/>
        <v>2145.0000000000005</v>
      </c>
      <c r="BD78" s="61"/>
      <c r="BE78" s="75">
        <f t="shared" si="42"/>
        <v>0</v>
      </c>
      <c r="BF78" s="75">
        <f t="shared" si="40"/>
        <v>4658.2739726027412</v>
      </c>
      <c r="BG78" s="75">
        <f t="shared" si="40"/>
        <v>13238.273972602743</v>
      </c>
      <c r="BH78" s="75">
        <f t="shared" si="40"/>
        <v>21818.273972602743</v>
      </c>
    </row>
    <row r="79" spans="2:60" ht="21" customHeight="1" x14ac:dyDescent="0.3">
      <c r="B79" s="60" t="str">
        <f>$B$34</f>
        <v>Other (staff release for training and implementation activity)</v>
      </c>
      <c r="C79" s="48">
        <f>IF(C$34="","",C$34)</f>
        <v>43922</v>
      </c>
      <c r="D79" s="48">
        <f>IF(D$34="","",D$34)</f>
        <v>44651</v>
      </c>
      <c r="E79" s="47">
        <f>IF(E$34="","",E$34)</f>
        <v>1</v>
      </c>
      <c r="F79" s="79">
        <f>Other!C22*60</f>
        <v>852</v>
      </c>
      <c r="G79" s="75">
        <f>Other!C11*60</f>
        <v>0</v>
      </c>
      <c r="H79" s="75">
        <f>IFERROR(MIN(1,MAX(0,(EOMONTH(H$4,0)+1-$C79)/(EDATE($C79,$E79)-$C79)))*$F79/12+IF(AND(H$4&gt;=EOMONTH($C79,0),H$4&lt;=EOMONTH($C79,11)),$G79/12,0),0)</f>
        <v>0</v>
      </c>
      <c r="I79" s="75">
        <f t="shared" ref="I79:BC79" si="93">IFERROR(MIN(1,MAX(0,(EOMONTH(I$4,0)+1-$C79)/(EDATE($C79,$E79)-$C79)))*$F79/12+IF(AND(I$4&gt;=EOMONTH($C79,0),I$4&lt;=EOMONTH($C79,11)),$G79/12,0),0)</f>
        <v>0</v>
      </c>
      <c r="J79" s="75">
        <f t="shared" si="93"/>
        <v>0</v>
      </c>
      <c r="K79" s="75">
        <f t="shared" si="93"/>
        <v>0</v>
      </c>
      <c r="L79" s="75">
        <f t="shared" si="93"/>
        <v>0</v>
      </c>
      <c r="M79" s="75">
        <f t="shared" si="93"/>
        <v>0</v>
      </c>
      <c r="N79" s="75">
        <f t="shared" si="93"/>
        <v>0</v>
      </c>
      <c r="O79" s="75">
        <f t="shared" si="93"/>
        <v>0</v>
      </c>
      <c r="P79" s="75">
        <f t="shared" si="93"/>
        <v>0</v>
      </c>
      <c r="Q79" s="75">
        <f t="shared" si="93"/>
        <v>0</v>
      </c>
      <c r="R79" s="75">
        <f t="shared" si="93"/>
        <v>0</v>
      </c>
      <c r="S79" s="75">
        <f t="shared" si="93"/>
        <v>0</v>
      </c>
      <c r="T79" s="75">
        <f t="shared" si="93"/>
        <v>71</v>
      </c>
      <c r="U79" s="75">
        <f t="shared" si="93"/>
        <v>71</v>
      </c>
      <c r="V79" s="75">
        <f t="shared" si="93"/>
        <v>71</v>
      </c>
      <c r="W79" s="75">
        <f t="shared" si="93"/>
        <v>71</v>
      </c>
      <c r="X79" s="75">
        <f t="shared" si="93"/>
        <v>71</v>
      </c>
      <c r="Y79" s="75">
        <f t="shared" si="93"/>
        <v>71</v>
      </c>
      <c r="Z79" s="75">
        <f t="shared" si="93"/>
        <v>71</v>
      </c>
      <c r="AA79" s="75">
        <f t="shared" si="93"/>
        <v>71</v>
      </c>
      <c r="AB79" s="75">
        <f t="shared" si="93"/>
        <v>71</v>
      </c>
      <c r="AC79" s="75">
        <f t="shared" si="93"/>
        <v>71</v>
      </c>
      <c r="AD79" s="75">
        <f t="shared" si="93"/>
        <v>71</v>
      </c>
      <c r="AE79" s="75">
        <f t="shared" si="93"/>
        <v>71</v>
      </c>
      <c r="AF79" s="75">
        <f t="shared" si="93"/>
        <v>71</v>
      </c>
      <c r="AG79" s="75">
        <f t="shared" si="93"/>
        <v>71</v>
      </c>
      <c r="AH79" s="75">
        <f t="shared" si="93"/>
        <v>71</v>
      </c>
      <c r="AI79" s="75">
        <f t="shared" si="93"/>
        <v>71</v>
      </c>
      <c r="AJ79" s="75">
        <f t="shared" si="93"/>
        <v>71</v>
      </c>
      <c r="AK79" s="75">
        <f t="shared" si="93"/>
        <v>71</v>
      </c>
      <c r="AL79" s="75">
        <f t="shared" si="93"/>
        <v>71</v>
      </c>
      <c r="AM79" s="75">
        <f t="shared" si="93"/>
        <v>71</v>
      </c>
      <c r="AN79" s="75">
        <f t="shared" si="93"/>
        <v>71</v>
      </c>
      <c r="AO79" s="75">
        <f t="shared" si="93"/>
        <v>71</v>
      </c>
      <c r="AP79" s="75">
        <f t="shared" si="93"/>
        <v>71</v>
      </c>
      <c r="AQ79" s="75">
        <f t="shared" si="93"/>
        <v>71</v>
      </c>
      <c r="AR79" s="75">
        <f t="shared" si="93"/>
        <v>71</v>
      </c>
      <c r="AS79" s="75">
        <f t="shared" si="93"/>
        <v>71</v>
      </c>
      <c r="AT79" s="75">
        <f t="shared" si="93"/>
        <v>71</v>
      </c>
      <c r="AU79" s="75">
        <f t="shared" si="93"/>
        <v>71</v>
      </c>
      <c r="AV79" s="75">
        <f t="shared" si="93"/>
        <v>71</v>
      </c>
      <c r="AW79" s="75">
        <f t="shared" si="93"/>
        <v>71</v>
      </c>
      <c r="AX79" s="75">
        <f t="shared" si="93"/>
        <v>71</v>
      </c>
      <c r="AY79" s="75">
        <f t="shared" si="93"/>
        <v>71</v>
      </c>
      <c r="AZ79" s="75">
        <f t="shared" si="93"/>
        <v>71</v>
      </c>
      <c r="BA79" s="75">
        <f t="shared" si="93"/>
        <v>71</v>
      </c>
      <c r="BB79" s="75">
        <f t="shared" si="93"/>
        <v>71</v>
      </c>
      <c r="BC79" s="75">
        <f t="shared" si="93"/>
        <v>71</v>
      </c>
      <c r="BD79" s="61"/>
      <c r="BE79" s="75">
        <f t="shared" si="42"/>
        <v>0</v>
      </c>
      <c r="BF79" s="75">
        <f t="shared" si="40"/>
        <v>852</v>
      </c>
      <c r="BG79" s="75">
        <f t="shared" si="40"/>
        <v>852</v>
      </c>
      <c r="BH79" s="75">
        <f t="shared" si="40"/>
        <v>852</v>
      </c>
    </row>
    <row r="80" spans="2:60" ht="21" customHeight="1" x14ac:dyDescent="0.3">
      <c r="B80" s="49"/>
      <c r="C80" s="49"/>
      <c r="D80" s="49"/>
      <c r="E80" s="49"/>
    </row>
    <row r="81" spans="2:60" ht="20.399999999999999" customHeight="1" x14ac:dyDescent="0.3">
      <c r="B81" s="60" t="s">
        <v>72</v>
      </c>
      <c r="C81" s="48" t="str">
        <f>IF($C59="","",$C59)</f>
        <v/>
      </c>
      <c r="D81" s="48"/>
      <c r="E81" s="47" t="str">
        <f>IF(E59="","",E59)</f>
        <v/>
      </c>
      <c r="F81" s="19">
        <f>SUM(F64:F79)</f>
        <v>-32465.999999999993</v>
      </c>
      <c r="H81" s="19">
        <f t="shared" ref="H81:BC81" si="94">SUM(H64:H79)</f>
        <v>0</v>
      </c>
      <c r="I81" s="19">
        <f t="shared" si="94"/>
        <v>0</v>
      </c>
      <c r="J81" s="19">
        <f t="shared" si="94"/>
        <v>0</v>
      </c>
      <c r="K81" s="19">
        <f t="shared" si="94"/>
        <v>0</v>
      </c>
      <c r="L81" s="19">
        <f t="shared" si="94"/>
        <v>0</v>
      </c>
      <c r="M81" s="19">
        <f t="shared" si="94"/>
        <v>0</v>
      </c>
      <c r="N81" s="19">
        <f t="shared" si="94"/>
        <v>0</v>
      </c>
      <c r="O81" s="19">
        <f t="shared" si="94"/>
        <v>0</v>
      </c>
      <c r="P81" s="19">
        <f t="shared" si="94"/>
        <v>0</v>
      </c>
      <c r="Q81" s="19">
        <f t="shared" si="94"/>
        <v>0</v>
      </c>
      <c r="R81" s="19">
        <f t="shared" si="94"/>
        <v>0</v>
      </c>
      <c r="S81" s="19">
        <f t="shared" si="94"/>
        <v>0</v>
      </c>
      <c r="T81" s="19">
        <f t="shared" si="94"/>
        <v>402.83561397057889</v>
      </c>
      <c r="U81" s="19">
        <f t="shared" si="94"/>
        <v>-1161.8009182598221</v>
      </c>
      <c r="V81" s="19">
        <f t="shared" si="94"/>
        <v>-2675.9653042892432</v>
      </c>
      <c r="W81" s="19">
        <f t="shared" si="94"/>
        <v>-2783.4315068493142</v>
      </c>
      <c r="X81" s="19">
        <f t="shared" si="94"/>
        <v>-2890.8977094093866</v>
      </c>
      <c r="Y81" s="19">
        <f t="shared" si="94"/>
        <v>-2994.8972602739723</v>
      </c>
      <c r="Z81" s="19">
        <f t="shared" si="94"/>
        <v>-3112.527397260274</v>
      </c>
      <c r="AA81" s="19">
        <f t="shared" si="94"/>
        <v>-3226.3630136986303</v>
      </c>
      <c r="AB81" s="19">
        <f t="shared" si="94"/>
        <v>-3343.9931506849312</v>
      </c>
      <c r="AC81" s="19">
        <f t="shared" si="94"/>
        <v>-3461.6232876712329</v>
      </c>
      <c r="AD81" s="19">
        <f t="shared" si="94"/>
        <v>-3567.8698630136983</v>
      </c>
      <c r="AE81" s="19">
        <f t="shared" si="94"/>
        <v>-3685.5</v>
      </c>
      <c r="AF81" s="19">
        <f t="shared" si="94"/>
        <v>-3645.2260273972602</v>
      </c>
      <c r="AG81" s="19">
        <f t="shared" si="94"/>
        <v>-3603.6095890410961</v>
      </c>
      <c r="AH81" s="19">
        <f t="shared" si="94"/>
        <v>-3563.3356164383563</v>
      </c>
      <c r="AI81" s="19">
        <f t="shared" si="94"/>
        <v>-3521.7191780821913</v>
      </c>
      <c r="AJ81" s="19">
        <f t="shared" si="94"/>
        <v>-3480.1027397260268</v>
      </c>
      <c r="AK81" s="19">
        <f t="shared" si="94"/>
        <v>-3439.8287671232874</v>
      </c>
      <c r="AL81" s="19">
        <f t="shared" si="94"/>
        <v>-3398.2123287671229</v>
      </c>
      <c r="AM81" s="19">
        <f t="shared" si="94"/>
        <v>-3357.9383561643835</v>
      </c>
      <c r="AN81" s="19">
        <f t="shared" si="94"/>
        <v>-3316.3219178082186</v>
      </c>
      <c r="AO81" s="19">
        <f t="shared" si="94"/>
        <v>-3274.7054794520545</v>
      </c>
      <c r="AP81" s="19">
        <f t="shared" si="94"/>
        <v>-3237.1164383561636</v>
      </c>
      <c r="AQ81" s="19">
        <f t="shared" si="94"/>
        <v>-3195.5</v>
      </c>
      <c r="AR81" s="19">
        <f t="shared" si="94"/>
        <v>-3155.2260273972597</v>
      </c>
      <c r="AS81" s="19">
        <f t="shared" si="94"/>
        <v>-3113.6095890410961</v>
      </c>
      <c r="AT81" s="19">
        <f t="shared" si="94"/>
        <v>-3073.3356164383558</v>
      </c>
      <c r="AU81" s="19">
        <f t="shared" si="94"/>
        <v>-3031.7191780821913</v>
      </c>
      <c r="AV81" s="19">
        <f t="shared" si="94"/>
        <v>-2990.1027397260268</v>
      </c>
      <c r="AW81" s="19">
        <f t="shared" si="94"/>
        <v>-2949.8287671232874</v>
      </c>
      <c r="AX81" s="19">
        <f t="shared" si="94"/>
        <v>-2908.2123287671229</v>
      </c>
      <c r="AY81" s="19">
        <f t="shared" si="94"/>
        <v>-2867.9383561643835</v>
      </c>
      <c r="AZ81" s="19">
        <f t="shared" si="94"/>
        <v>-2826.3219178082181</v>
      </c>
      <c r="BA81" s="19">
        <f t="shared" si="94"/>
        <v>-2784.7054794520536</v>
      </c>
      <c r="BB81" s="19">
        <f t="shared" si="94"/>
        <v>-2747.1164383561636</v>
      </c>
      <c r="BC81" s="19">
        <f t="shared" si="94"/>
        <v>-2705.4999999999995</v>
      </c>
      <c r="BD81" s="61"/>
      <c r="BE81" s="79">
        <f t="shared" ref="BE81:BH81" si="95">SUMIF($H$3:$BD$3,BE$3,$H81:$BD81)</f>
        <v>0</v>
      </c>
      <c r="BF81" s="79">
        <f t="shared" si="95"/>
        <v>-32502.033797439926</v>
      </c>
      <c r="BG81" s="79">
        <f t="shared" si="95"/>
        <v>-41033.616438356163</v>
      </c>
      <c r="BH81" s="79">
        <f t="shared" si="95"/>
        <v>-35153.616438356155</v>
      </c>
    </row>
    <row r="82" spans="2:60" ht="21" customHeight="1" x14ac:dyDescent="0.3">
      <c r="B82" s="49"/>
      <c r="C82" s="49"/>
      <c r="D82" s="49"/>
      <c r="E82" s="49"/>
    </row>
    <row r="83" spans="2:60" ht="21" customHeight="1" x14ac:dyDescent="0.3">
      <c r="B83" s="58" t="s">
        <v>180</v>
      </c>
      <c r="C83" s="53" t="s">
        <v>37</v>
      </c>
      <c r="D83" s="53" t="s">
        <v>115</v>
      </c>
      <c r="E83" s="53" t="s">
        <v>38</v>
      </c>
      <c r="F83" s="53" t="s">
        <v>19</v>
      </c>
      <c r="G83" s="53" t="s">
        <v>215</v>
      </c>
      <c r="H83" s="59">
        <f>H$4</f>
        <v>43585</v>
      </c>
      <c r="I83" s="59">
        <f t="shared" ref="I83:BC83" si="96">I$4</f>
        <v>43616</v>
      </c>
      <c r="J83" s="59">
        <f t="shared" si="96"/>
        <v>43646</v>
      </c>
      <c r="K83" s="59">
        <f t="shared" si="96"/>
        <v>43677</v>
      </c>
      <c r="L83" s="59">
        <f t="shared" si="96"/>
        <v>43708</v>
      </c>
      <c r="M83" s="59">
        <f t="shared" si="96"/>
        <v>43738</v>
      </c>
      <c r="N83" s="59">
        <f t="shared" si="96"/>
        <v>43769</v>
      </c>
      <c r="O83" s="59">
        <f t="shared" si="96"/>
        <v>43799</v>
      </c>
      <c r="P83" s="59">
        <f t="shared" si="96"/>
        <v>43830</v>
      </c>
      <c r="Q83" s="59">
        <f t="shared" si="96"/>
        <v>43861</v>
      </c>
      <c r="R83" s="59">
        <f t="shared" si="96"/>
        <v>43890</v>
      </c>
      <c r="S83" s="59">
        <f t="shared" si="96"/>
        <v>43921</v>
      </c>
      <c r="T83" s="59">
        <f t="shared" si="96"/>
        <v>43951</v>
      </c>
      <c r="U83" s="59">
        <f t="shared" si="96"/>
        <v>43982</v>
      </c>
      <c r="V83" s="59">
        <f t="shared" si="96"/>
        <v>44012</v>
      </c>
      <c r="W83" s="59">
        <f t="shared" si="96"/>
        <v>44043</v>
      </c>
      <c r="X83" s="59">
        <f t="shared" si="96"/>
        <v>44074</v>
      </c>
      <c r="Y83" s="59">
        <f t="shared" si="96"/>
        <v>44104</v>
      </c>
      <c r="Z83" s="59">
        <f t="shared" si="96"/>
        <v>44135</v>
      </c>
      <c r="AA83" s="59">
        <f t="shared" si="96"/>
        <v>44165</v>
      </c>
      <c r="AB83" s="59">
        <f t="shared" si="96"/>
        <v>44196</v>
      </c>
      <c r="AC83" s="59">
        <f t="shared" si="96"/>
        <v>44227</v>
      </c>
      <c r="AD83" s="59">
        <f t="shared" si="96"/>
        <v>44255</v>
      </c>
      <c r="AE83" s="59">
        <f t="shared" si="96"/>
        <v>44286</v>
      </c>
      <c r="AF83" s="59">
        <f t="shared" si="96"/>
        <v>44316</v>
      </c>
      <c r="AG83" s="59">
        <f t="shared" si="96"/>
        <v>44347</v>
      </c>
      <c r="AH83" s="59">
        <f t="shared" si="96"/>
        <v>44377</v>
      </c>
      <c r="AI83" s="59">
        <f t="shared" si="96"/>
        <v>44408</v>
      </c>
      <c r="AJ83" s="59">
        <f t="shared" si="96"/>
        <v>44439</v>
      </c>
      <c r="AK83" s="59">
        <f t="shared" si="96"/>
        <v>44469</v>
      </c>
      <c r="AL83" s="59">
        <f t="shared" si="96"/>
        <v>44500</v>
      </c>
      <c r="AM83" s="59">
        <f t="shared" si="96"/>
        <v>44530</v>
      </c>
      <c r="AN83" s="59">
        <f t="shared" si="96"/>
        <v>44561</v>
      </c>
      <c r="AO83" s="59">
        <f t="shared" si="96"/>
        <v>44592</v>
      </c>
      <c r="AP83" s="59">
        <f t="shared" si="96"/>
        <v>44620</v>
      </c>
      <c r="AQ83" s="59">
        <f t="shared" si="96"/>
        <v>44651</v>
      </c>
      <c r="AR83" s="59">
        <f t="shared" si="96"/>
        <v>44681</v>
      </c>
      <c r="AS83" s="59">
        <f t="shared" si="96"/>
        <v>44712</v>
      </c>
      <c r="AT83" s="59">
        <f t="shared" si="96"/>
        <v>44742</v>
      </c>
      <c r="AU83" s="59">
        <f t="shared" si="96"/>
        <v>44773</v>
      </c>
      <c r="AV83" s="59">
        <f t="shared" si="96"/>
        <v>44804</v>
      </c>
      <c r="AW83" s="59">
        <f t="shared" si="96"/>
        <v>44834</v>
      </c>
      <c r="AX83" s="59">
        <f t="shared" si="96"/>
        <v>44865</v>
      </c>
      <c r="AY83" s="59">
        <f t="shared" si="96"/>
        <v>44895</v>
      </c>
      <c r="AZ83" s="59">
        <f t="shared" si="96"/>
        <v>44926</v>
      </c>
      <c r="BA83" s="59">
        <f t="shared" si="96"/>
        <v>44957</v>
      </c>
      <c r="BB83" s="59">
        <f t="shared" si="96"/>
        <v>44985</v>
      </c>
      <c r="BC83" s="59">
        <f t="shared" si="96"/>
        <v>45016</v>
      </c>
      <c r="BE83" s="71">
        <f>BE$3</f>
        <v>1</v>
      </c>
      <c r="BF83" s="71">
        <f>BF$3</f>
        <v>2</v>
      </c>
      <c r="BG83" s="71">
        <f>BG$3</f>
        <v>3</v>
      </c>
      <c r="BH83" s="71">
        <f>BH$3</f>
        <v>4</v>
      </c>
    </row>
    <row r="84" spans="2:60" ht="21" customHeight="1" x14ac:dyDescent="0.3">
      <c r="B84" s="60" t="str">
        <f>$B$19</f>
        <v>Covid-19 Disruption - first period</v>
      </c>
      <c r="C84" s="48">
        <f>IF(C$19="","",C$19)</f>
        <v>43891</v>
      </c>
      <c r="D84" s="48">
        <f>IF(D$19="","",D$19)</f>
        <v>43982</v>
      </c>
      <c r="E84" s="47">
        <f>IF(E$19="","",E$19)</f>
        <v>1</v>
      </c>
      <c r="F84" s="79"/>
      <c r="G84" s="75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</row>
    <row r="85" spans="2:60" ht="21" customHeight="1" x14ac:dyDescent="0.3">
      <c r="B85" s="60" t="str">
        <f>$B$20</f>
        <v>Covid-19 Disruption - second period</v>
      </c>
      <c r="C85" s="48">
        <f>IF(C$20="","",C$20)</f>
        <v>43983</v>
      </c>
      <c r="D85" s="48">
        <f>IF(D$20="","",D$20)</f>
        <v>44165</v>
      </c>
      <c r="E85" s="47">
        <f>IF(E$20="","",E$20)</f>
        <v>1</v>
      </c>
      <c r="F85" s="79"/>
      <c r="G85" s="75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</row>
    <row r="86" spans="2:60" ht="21" customHeight="1" x14ac:dyDescent="0.3">
      <c r="B86" s="160" t="s">
        <v>394</v>
      </c>
      <c r="C86" s="48"/>
      <c r="D86" s="48"/>
      <c r="E86" s="47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E86" s="75">
        <f t="shared" ref="BE86:BH86" si="97">SUMIF($H$3:$BD$3,BE$3,$H86:$BD86)</f>
        <v>0</v>
      </c>
      <c r="BF86" s="75">
        <f t="shared" si="97"/>
        <v>0</v>
      </c>
      <c r="BG86" s="75">
        <f t="shared" si="97"/>
        <v>0</v>
      </c>
      <c r="BH86" s="75">
        <f t="shared" si="97"/>
        <v>0</v>
      </c>
    </row>
    <row r="87" spans="2:60" ht="21" customHeight="1" x14ac:dyDescent="0.3">
      <c r="B87" s="160" t="str">
        <f>$B$22</f>
        <v>Covid-19 Wage subsidy</v>
      </c>
      <c r="C87" s="48"/>
      <c r="D87" s="48"/>
      <c r="E87" s="47"/>
      <c r="F87" s="79"/>
      <c r="G87" s="75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</row>
    <row r="88" spans="2:60" ht="21" customHeight="1" x14ac:dyDescent="0.3">
      <c r="B88" s="60" t="str">
        <f>$B$23</f>
        <v>Call Management</v>
      </c>
      <c r="C88" s="48">
        <f>IF(C$23="","",C$23)</f>
        <v>43922</v>
      </c>
      <c r="D88" s="48" t="str">
        <f>IF(D$23="","",D$23)</f>
        <v/>
      </c>
      <c r="E88" s="47">
        <f>IF(E$23="","",E$23)</f>
        <v>1</v>
      </c>
      <c r="F88" s="79"/>
      <c r="G88" s="75"/>
      <c r="H88" s="75">
        <f>IFERROR(MIN(1,MAX(0,(EOMONTH(H$4,0)+1-$C88)/(EDATE($C88,$E88)-$C88)))*$F88/12+IF(AND(H$4&gt;=EOMONTH($C88,0),H$4&lt;=EOMONTH($C88,11)),$G88/12,0),0)</f>
        <v>0</v>
      </c>
      <c r="I88" s="75">
        <f t="shared" ref="I88:BC89" si="98">IFERROR(MIN(1,MAX(0,(EOMONTH(I$4,0)+1-$C88)/(EDATE($C88,$E88)-$C88)))*$F88/12+IF(AND(I$4&gt;=EOMONTH($C88,0),I$4&lt;=EOMONTH($C88,11)),$G88/12,0),0)</f>
        <v>0</v>
      </c>
      <c r="J88" s="75">
        <f t="shared" si="98"/>
        <v>0</v>
      </c>
      <c r="K88" s="75">
        <f t="shared" si="98"/>
        <v>0</v>
      </c>
      <c r="L88" s="75">
        <f t="shared" si="98"/>
        <v>0</v>
      </c>
      <c r="M88" s="75">
        <f t="shared" si="98"/>
        <v>0</v>
      </c>
      <c r="N88" s="75">
        <f t="shared" si="98"/>
        <v>0</v>
      </c>
      <c r="O88" s="75">
        <f t="shared" si="98"/>
        <v>0</v>
      </c>
      <c r="P88" s="75">
        <f t="shared" si="98"/>
        <v>0</v>
      </c>
      <c r="Q88" s="75">
        <f t="shared" si="98"/>
        <v>0</v>
      </c>
      <c r="R88" s="75">
        <f t="shared" si="98"/>
        <v>0</v>
      </c>
      <c r="S88" s="75">
        <f t="shared" si="98"/>
        <v>0</v>
      </c>
      <c r="T88" s="75">
        <f t="shared" si="98"/>
        <v>0</v>
      </c>
      <c r="U88" s="75">
        <f t="shared" si="98"/>
        <v>0</v>
      </c>
      <c r="V88" s="75">
        <f t="shared" si="98"/>
        <v>0</v>
      </c>
      <c r="W88" s="75">
        <f t="shared" si="98"/>
        <v>0</v>
      </c>
      <c r="X88" s="75">
        <f t="shared" si="98"/>
        <v>0</v>
      </c>
      <c r="Y88" s="75">
        <f t="shared" si="98"/>
        <v>0</v>
      </c>
      <c r="Z88" s="75">
        <f t="shared" si="98"/>
        <v>0</v>
      </c>
      <c r="AA88" s="75">
        <f t="shared" si="98"/>
        <v>0</v>
      </c>
      <c r="AB88" s="75">
        <f t="shared" si="98"/>
        <v>0</v>
      </c>
      <c r="AC88" s="75">
        <f t="shared" si="98"/>
        <v>0</v>
      </c>
      <c r="AD88" s="75">
        <f t="shared" si="98"/>
        <v>0</v>
      </c>
      <c r="AE88" s="75">
        <f t="shared" si="98"/>
        <v>0</v>
      </c>
      <c r="AF88" s="75">
        <f t="shared" si="98"/>
        <v>0</v>
      </c>
      <c r="AG88" s="75">
        <f t="shared" si="98"/>
        <v>0</v>
      </c>
      <c r="AH88" s="75">
        <f t="shared" si="98"/>
        <v>0</v>
      </c>
      <c r="AI88" s="75">
        <f t="shared" si="98"/>
        <v>0</v>
      </c>
      <c r="AJ88" s="75">
        <f t="shared" si="98"/>
        <v>0</v>
      </c>
      <c r="AK88" s="75">
        <f t="shared" si="98"/>
        <v>0</v>
      </c>
      <c r="AL88" s="75">
        <f t="shared" si="98"/>
        <v>0</v>
      </c>
      <c r="AM88" s="75">
        <f t="shared" si="98"/>
        <v>0</v>
      </c>
      <c r="AN88" s="75">
        <f t="shared" si="98"/>
        <v>0</v>
      </c>
      <c r="AO88" s="75">
        <f t="shared" si="98"/>
        <v>0</v>
      </c>
      <c r="AP88" s="75">
        <f t="shared" si="98"/>
        <v>0</v>
      </c>
      <c r="AQ88" s="75">
        <f t="shared" si="98"/>
        <v>0</v>
      </c>
      <c r="AR88" s="75">
        <f t="shared" si="98"/>
        <v>0</v>
      </c>
      <c r="AS88" s="75">
        <f t="shared" si="98"/>
        <v>0</v>
      </c>
      <c r="AT88" s="75">
        <f t="shared" si="98"/>
        <v>0</v>
      </c>
      <c r="AU88" s="75">
        <f t="shared" si="98"/>
        <v>0</v>
      </c>
      <c r="AV88" s="75">
        <f t="shared" si="98"/>
        <v>0</v>
      </c>
      <c r="AW88" s="75">
        <f t="shared" si="98"/>
        <v>0</v>
      </c>
      <c r="AX88" s="75">
        <f t="shared" si="98"/>
        <v>0</v>
      </c>
      <c r="AY88" s="75">
        <f t="shared" si="98"/>
        <v>0</v>
      </c>
      <c r="AZ88" s="75">
        <f t="shared" si="98"/>
        <v>0</v>
      </c>
      <c r="BA88" s="75">
        <f t="shared" si="98"/>
        <v>0</v>
      </c>
      <c r="BB88" s="75">
        <f t="shared" si="98"/>
        <v>0</v>
      </c>
      <c r="BC88" s="75">
        <f t="shared" si="98"/>
        <v>0</v>
      </c>
      <c r="BE88" s="75">
        <f t="shared" ref="BE88:BE99" si="99">SUMIF($H$3:$BD$3,BE$3,$H88:$BD88)</f>
        <v>0</v>
      </c>
      <c r="BF88" s="75">
        <f t="shared" ref="BF88:BH99" si="100">SUMIF($H$3:$BD$3,BF$3,$H88:$BD88)</f>
        <v>0</v>
      </c>
      <c r="BG88" s="75">
        <f t="shared" si="100"/>
        <v>0</v>
      </c>
      <c r="BH88" s="75">
        <f t="shared" si="100"/>
        <v>0</v>
      </c>
    </row>
    <row r="89" spans="2:60" ht="21" customHeight="1" x14ac:dyDescent="0.3">
      <c r="B89" s="60" t="str">
        <f>$B$24</f>
        <v>GP triage</v>
      </c>
      <c r="C89" s="48">
        <f>IF(C$24="","",C$24)</f>
        <v>43922</v>
      </c>
      <c r="D89" s="48" t="str">
        <f>IF(D$24="","",D$24)</f>
        <v/>
      </c>
      <c r="E89" s="47">
        <f>IF(E$24="","",E$24)</f>
        <v>3</v>
      </c>
      <c r="F89" s="79">
        <f>'GP Triage'!C86</f>
        <v>0</v>
      </c>
      <c r="G89" s="75"/>
      <c r="H89" s="75">
        <f>IFERROR(MIN(1,MAX(0,(EOMONTH(H$4,0)+1-$C89)/(EDATE($C89,$E89)-$C89)))*$F89/12+IF(AND(H$4&gt;=EOMONTH($C89,0),H$4&lt;=EOMONTH($C89,11)),$G89/12,0),0)</f>
        <v>0</v>
      </c>
      <c r="I89" s="75">
        <f t="shared" si="98"/>
        <v>0</v>
      </c>
      <c r="J89" s="75">
        <f t="shared" si="98"/>
        <v>0</v>
      </c>
      <c r="K89" s="75">
        <f t="shared" si="98"/>
        <v>0</v>
      </c>
      <c r="L89" s="75">
        <f t="shared" si="98"/>
        <v>0</v>
      </c>
      <c r="M89" s="75">
        <f t="shared" si="98"/>
        <v>0</v>
      </c>
      <c r="N89" s="75">
        <f t="shared" si="98"/>
        <v>0</v>
      </c>
      <c r="O89" s="75">
        <f t="shared" si="98"/>
        <v>0</v>
      </c>
      <c r="P89" s="75">
        <f t="shared" si="98"/>
        <v>0</v>
      </c>
      <c r="Q89" s="75">
        <f t="shared" si="98"/>
        <v>0</v>
      </c>
      <c r="R89" s="75">
        <f t="shared" si="98"/>
        <v>0</v>
      </c>
      <c r="S89" s="75">
        <f t="shared" si="98"/>
        <v>0</v>
      </c>
      <c r="T89" s="75">
        <f t="shared" si="98"/>
        <v>0</v>
      </c>
      <c r="U89" s="75">
        <f t="shared" si="98"/>
        <v>0</v>
      </c>
      <c r="V89" s="75">
        <f t="shared" si="98"/>
        <v>0</v>
      </c>
      <c r="W89" s="75">
        <f t="shared" si="98"/>
        <v>0</v>
      </c>
      <c r="X89" s="75">
        <f t="shared" si="98"/>
        <v>0</v>
      </c>
      <c r="Y89" s="75">
        <f t="shared" si="98"/>
        <v>0</v>
      </c>
      <c r="Z89" s="75">
        <f t="shared" si="98"/>
        <v>0</v>
      </c>
      <c r="AA89" s="75">
        <f t="shared" si="98"/>
        <v>0</v>
      </c>
      <c r="AB89" s="75">
        <f t="shared" si="98"/>
        <v>0</v>
      </c>
      <c r="AC89" s="75">
        <f t="shared" si="98"/>
        <v>0</v>
      </c>
      <c r="AD89" s="75">
        <f t="shared" si="98"/>
        <v>0</v>
      </c>
      <c r="AE89" s="75">
        <f t="shared" si="98"/>
        <v>0</v>
      </c>
      <c r="AF89" s="75">
        <f t="shared" si="98"/>
        <v>0</v>
      </c>
      <c r="AG89" s="75">
        <f t="shared" si="98"/>
        <v>0</v>
      </c>
      <c r="AH89" s="75">
        <f t="shared" si="98"/>
        <v>0</v>
      </c>
      <c r="AI89" s="75">
        <f t="shared" si="98"/>
        <v>0</v>
      </c>
      <c r="AJ89" s="75">
        <f t="shared" si="98"/>
        <v>0</v>
      </c>
      <c r="AK89" s="75">
        <f t="shared" si="98"/>
        <v>0</v>
      </c>
      <c r="AL89" s="75">
        <f t="shared" si="98"/>
        <v>0</v>
      </c>
      <c r="AM89" s="75">
        <f t="shared" si="98"/>
        <v>0</v>
      </c>
      <c r="AN89" s="75">
        <f t="shared" si="98"/>
        <v>0</v>
      </c>
      <c r="AO89" s="75">
        <f t="shared" si="98"/>
        <v>0</v>
      </c>
      <c r="AP89" s="75">
        <f t="shared" si="98"/>
        <v>0</v>
      </c>
      <c r="AQ89" s="75">
        <f t="shared" si="98"/>
        <v>0</v>
      </c>
      <c r="AR89" s="75">
        <f t="shared" si="98"/>
        <v>0</v>
      </c>
      <c r="AS89" s="75">
        <f t="shared" si="98"/>
        <v>0</v>
      </c>
      <c r="AT89" s="75">
        <f t="shared" si="98"/>
        <v>0</v>
      </c>
      <c r="AU89" s="75">
        <f t="shared" si="98"/>
        <v>0</v>
      </c>
      <c r="AV89" s="75">
        <f t="shared" si="98"/>
        <v>0</v>
      </c>
      <c r="AW89" s="75">
        <f t="shared" si="98"/>
        <v>0</v>
      </c>
      <c r="AX89" s="75">
        <f t="shared" si="98"/>
        <v>0</v>
      </c>
      <c r="AY89" s="75">
        <f t="shared" si="98"/>
        <v>0</v>
      </c>
      <c r="AZ89" s="75">
        <f t="shared" si="98"/>
        <v>0</v>
      </c>
      <c r="BA89" s="75">
        <f t="shared" si="98"/>
        <v>0</v>
      </c>
      <c r="BB89" s="75">
        <f t="shared" si="98"/>
        <v>0</v>
      </c>
      <c r="BC89" s="75">
        <f t="shared" si="98"/>
        <v>0</v>
      </c>
      <c r="BD89" s="61"/>
      <c r="BE89" s="75">
        <f t="shared" si="99"/>
        <v>0</v>
      </c>
      <c r="BF89" s="75">
        <f t="shared" si="100"/>
        <v>0</v>
      </c>
      <c r="BG89" s="75">
        <f t="shared" si="100"/>
        <v>0</v>
      </c>
      <c r="BH89" s="75">
        <f t="shared" si="100"/>
        <v>0</v>
      </c>
    </row>
    <row r="90" spans="2:60" ht="21" customHeight="1" x14ac:dyDescent="0.3">
      <c r="B90" s="60" t="s">
        <v>354</v>
      </c>
      <c r="C90" s="48">
        <f>IF(C$25="","",C$25)</f>
        <v>43891</v>
      </c>
      <c r="D90" s="48">
        <f>IF(D$25="","",D$25)</f>
        <v>43982</v>
      </c>
      <c r="E90" s="47">
        <v>1</v>
      </c>
      <c r="F90" s="79"/>
      <c r="G90" s="75"/>
      <c r="H90" s="161">
        <f>IF(AND(H$5=1,$F90&lt;&gt;""),$F90/'Covid 19'!$C$7-H89,0)</f>
        <v>0</v>
      </c>
      <c r="I90" s="161">
        <f>IF(AND(I$5=1,$F90&lt;&gt;""),$F90/'Covid 19'!$C$7-I89,0)</f>
        <v>0</v>
      </c>
      <c r="J90" s="161">
        <f>IF(AND(J$5=1,$F90&lt;&gt;""),$F90/'Covid 19'!$C$7-J89,0)</f>
        <v>0</v>
      </c>
      <c r="K90" s="161">
        <f>IF(AND(K$5=1,$F90&lt;&gt;""),$F90/'Covid 19'!$C$7-K89,0)</f>
        <v>0</v>
      </c>
      <c r="L90" s="161">
        <f>IF(AND(L$5=1,$F90&lt;&gt;""),$F90/'Covid 19'!$C$7-L89,0)</f>
        <v>0</v>
      </c>
      <c r="M90" s="161">
        <f>IF(AND(M$5=1,$F90&lt;&gt;""),$F90/'Covid 19'!$C$7-M89,0)</f>
        <v>0</v>
      </c>
      <c r="N90" s="161">
        <f>IF(AND(N$5=1,$F90&lt;&gt;""),$F90/'Covid 19'!$C$7-N89,0)</f>
        <v>0</v>
      </c>
      <c r="O90" s="161">
        <f>IF(AND(O$5=1,$F90&lt;&gt;""),$F90/'Covid 19'!$C$7-O89,0)</f>
        <v>0</v>
      </c>
      <c r="P90" s="161">
        <f>IF(AND(P$5=1,$F90&lt;&gt;""),$F90/'Covid 19'!$C$7-P89,0)</f>
        <v>0</v>
      </c>
      <c r="Q90" s="161">
        <f>IF(AND(Q$5=1,$F90&lt;&gt;""),$F90/'Covid 19'!$C$7-Q89,0)</f>
        <v>0</v>
      </c>
      <c r="R90" s="161">
        <f>IF(AND(R$5=1,$F90&lt;&gt;""),$F90/'Covid 19'!$C$7-R89,0)</f>
        <v>0</v>
      </c>
      <c r="S90" s="161">
        <f>IF(AND(S$5=1,$F90&lt;&gt;""),$F90/'Covid 19'!$C$7-S89,0)</f>
        <v>0</v>
      </c>
      <c r="T90" s="161">
        <f>IF(AND(T$5=1,$F90&lt;&gt;""),$F90/'Covid 19'!$C$7-T89,0)</f>
        <v>0</v>
      </c>
      <c r="U90" s="161">
        <f>IF(AND(U$5=1,$F90&lt;&gt;""),$F90/'Covid 19'!$C$7-U89,0)</f>
        <v>0</v>
      </c>
      <c r="V90" s="161">
        <f>IF(AND(V$5=1,$F90&lt;&gt;""),$F90/'Covid 19'!$C$7-V89,0)</f>
        <v>0</v>
      </c>
      <c r="W90" s="161">
        <f>IF(AND(W$5=1,$F90&lt;&gt;""),$F90/'Covid 19'!$C$7-W89,0)</f>
        <v>0</v>
      </c>
      <c r="X90" s="161">
        <f>IF(AND(X$5=1,$F90&lt;&gt;""),$F90/'Covid 19'!$C$7-X89,0)</f>
        <v>0</v>
      </c>
      <c r="Y90" s="161">
        <f>IF(AND(Y$5=1,$F90&lt;&gt;""),$F90/'Covid 19'!$C$7-Y89,0)</f>
        <v>0</v>
      </c>
      <c r="Z90" s="161">
        <f>IF(AND(Z$5=1,$F90&lt;&gt;""),$F90/'Covid 19'!$C$7-Z89,0)</f>
        <v>0</v>
      </c>
      <c r="AA90" s="161">
        <f>IF(AND(AA$5=1,$F90&lt;&gt;""),$F90/'Covid 19'!$C$7-AA89,0)</f>
        <v>0</v>
      </c>
      <c r="AB90" s="161">
        <f>IF(AND(AB$5=1,$F90&lt;&gt;""),$F90/'Covid 19'!$C$7-AB89,0)</f>
        <v>0</v>
      </c>
      <c r="AC90" s="161">
        <f>IF(AND(AC$5=1,$F90&lt;&gt;""),$F90/'Covid 19'!$C$7-AC89,0)</f>
        <v>0</v>
      </c>
      <c r="AD90" s="161">
        <f>IF(AND(AD$5=1,$F90&lt;&gt;""),$F90/'Covid 19'!$C$7-AD89,0)</f>
        <v>0</v>
      </c>
      <c r="AE90" s="161">
        <f>IF(AND(AE$5=1,$F90&lt;&gt;""),$F90/'Covid 19'!$C$7-AE89,0)</f>
        <v>0</v>
      </c>
      <c r="AF90" s="161">
        <f>IF(AND(AF$5=1,$F90&lt;&gt;""),$F90/'Covid 19'!$C$7-AF89,0)</f>
        <v>0</v>
      </c>
      <c r="AG90" s="161">
        <f>IF(AND(AG$5=1,$F90&lt;&gt;""),$F90/'Covid 19'!$C$7-AG89,0)</f>
        <v>0</v>
      </c>
      <c r="AH90" s="161">
        <f>IF(AND(AH$5=1,$F90&lt;&gt;""),$F90/'Covid 19'!$C$7-AH89,0)</f>
        <v>0</v>
      </c>
      <c r="AI90" s="161">
        <f>IF(AND(AI$5=1,$F90&lt;&gt;""),$F90/'Covid 19'!$C$7-AI89,0)</f>
        <v>0</v>
      </c>
      <c r="AJ90" s="161">
        <f>IF(AND(AJ$5=1,$F90&lt;&gt;""),$F90/'Covid 19'!$C$7-AJ89,0)</f>
        <v>0</v>
      </c>
      <c r="AK90" s="161">
        <f>IF(AND(AK$5=1,$F90&lt;&gt;""),$F90/'Covid 19'!$C$7-AK89,0)</f>
        <v>0</v>
      </c>
      <c r="AL90" s="161">
        <f>IF(AND(AL$5=1,$F90&lt;&gt;""),$F90/'Covid 19'!$C$7-AL89,0)</f>
        <v>0</v>
      </c>
      <c r="AM90" s="161">
        <f>IF(AND(AM$5=1,$F90&lt;&gt;""),$F90/'Covid 19'!$C$7-AM89,0)</f>
        <v>0</v>
      </c>
      <c r="AN90" s="161">
        <f>IF(AND(AN$5=1,$F90&lt;&gt;""),$F90/'Covid 19'!$C$7-AN89,0)</f>
        <v>0</v>
      </c>
      <c r="AO90" s="161">
        <f>IF(AND(AO$5=1,$F90&lt;&gt;""),$F90/'Covid 19'!$C$7-AO89,0)</f>
        <v>0</v>
      </c>
      <c r="AP90" s="161">
        <f>IF(AND(AP$5=1,$F90&lt;&gt;""),$F90/'Covid 19'!$C$7-AP89,0)</f>
        <v>0</v>
      </c>
      <c r="AQ90" s="161">
        <f>IF(AND(AQ$5=1,$F90&lt;&gt;""),$F90/'Covid 19'!$C$7-AQ89,0)</f>
        <v>0</v>
      </c>
      <c r="AR90" s="161">
        <f>IF(AND(AR$5=1,$F90&lt;&gt;""),$F90/'Covid 19'!$C$7-AR89,0)</f>
        <v>0</v>
      </c>
      <c r="AS90" s="161">
        <f>IF(AND(AS$5=1,$F90&lt;&gt;""),$F90/'Covid 19'!$C$7-AS89,0)</f>
        <v>0</v>
      </c>
      <c r="AT90" s="161">
        <f>IF(AND(AT$5=1,$F90&lt;&gt;""),$F90/'Covid 19'!$C$7-AT89,0)</f>
        <v>0</v>
      </c>
      <c r="AU90" s="161">
        <f>IF(AND(AU$5=1,$F90&lt;&gt;""),$F90/'Covid 19'!$C$7-AU89,0)</f>
        <v>0</v>
      </c>
      <c r="AV90" s="161">
        <f>IF(AND(AV$5=1,$F90&lt;&gt;""),$F90/'Covid 19'!$C$7-AV89,0)</f>
        <v>0</v>
      </c>
      <c r="AW90" s="161">
        <f>IF(AND(AW$5=1,$F90&lt;&gt;""),$F90/'Covid 19'!$C$7-AW89,0)</f>
        <v>0</v>
      </c>
      <c r="AX90" s="161">
        <f>IF(AND(AX$5=1,$F90&lt;&gt;""),$F90/'Covid 19'!$C$7-AX89,0)</f>
        <v>0</v>
      </c>
      <c r="AY90" s="161">
        <f>IF(AND(AY$5=1,$F90&lt;&gt;""),$F90/'Covid 19'!$C$7-AY89,0)</f>
        <v>0</v>
      </c>
      <c r="AZ90" s="161">
        <f>IF(AND(AZ$5=1,$F90&lt;&gt;""),$F90/'Covid 19'!$C$7-AZ89,0)</f>
        <v>0</v>
      </c>
      <c r="BA90" s="161">
        <f>IF(AND(BA$5=1,$F90&lt;&gt;""),$F90/'Covid 19'!$C$7-BA89,0)</f>
        <v>0</v>
      </c>
      <c r="BB90" s="161">
        <f>IF(AND(BB$5=1,$F90&lt;&gt;""),$F90/'Covid 19'!$C$7-BB89,0)</f>
        <v>0</v>
      </c>
      <c r="BC90" s="161">
        <f>IF(AND(BC$5=1,$F90&lt;&gt;""),$F90/'Covid 19'!$C$7-BC89,0)</f>
        <v>0</v>
      </c>
      <c r="BE90" s="75">
        <f t="shared" si="99"/>
        <v>0</v>
      </c>
      <c r="BF90" s="75">
        <f t="shared" si="100"/>
        <v>0</v>
      </c>
      <c r="BG90" s="75">
        <f t="shared" si="100"/>
        <v>0</v>
      </c>
      <c r="BH90" s="75">
        <f t="shared" si="100"/>
        <v>0</v>
      </c>
    </row>
    <row r="91" spans="2:60" ht="21" customHeight="1" x14ac:dyDescent="0.3">
      <c r="B91" s="60" t="str">
        <f>B26</f>
        <v>Virtual consults</v>
      </c>
      <c r="C91" s="48">
        <f>IF(C$26="","",C$26)</f>
        <v>43922</v>
      </c>
      <c r="D91" s="48" t="str">
        <f>IF(D$26="","",D$26)</f>
        <v/>
      </c>
      <c r="E91" s="47">
        <f>IF(E$26="","",E$26)</f>
        <v>36</v>
      </c>
      <c r="F91" s="79"/>
      <c r="G91" s="75"/>
      <c r="H91" s="75">
        <f>IFERROR(MIN(1,MAX(0,(EOMONTH(H$4,0)+1-$C91)/(EDATE($C91,$E91)-$C91)))*$F91/12+IF(AND(H$4&gt;=EOMONTH($C91,0),H$4&lt;=EOMONTH($C91,11)),$G91/12,0),0)</f>
        <v>0</v>
      </c>
      <c r="I91" s="75">
        <f t="shared" ref="I91:BC91" si="101">IFERROR(MIN(1,MAX(0,(EOMONTH(I$4,0)+1-$C91)/(EDATE($C91,$E91)-$C91)))*$F91/12+IF(AND(I$4&gt;=EOMONTH($C91,0),I$4&lt;=EOMONTH($C91,11)),$G91/12,0),0)</f>
        <v>0</v>
      </c>
      <c r="J91" s="75">
        <f t="shared" si="101"/>
        <v>0</v>
      </c>
      <c r="K91" s="75">
        <f t="shared" si="101"/>
        <v>0</v>
      </c>
      <c r="L91" s="75">
        <f t="shared" si="101"/>
        <v>0</v>
      </c>
      <c r="M91" s="75">
        <f t="shared" si="101"/>
        <v>0</v>
      </c>
      <c r="N91" s="75">
        <f t="shared" si="101"/>
        <v>0</v>
      </c>
      <c r="O91" s="75">
        <f t="shared" si="101"/>
        <v>0</v>
      </c>
      <c r="P91" s="75">
        <f t="shared" si="101"/>
        <v>0</v>
      </c>
      <c r="Q91" s="75">
        <f t="shared" si="101"/>
        <v>0</v>
      </c>
      <c r="R91" s="75">
        <f t="shared" si="101"/>
        <v>0</v>
      </c>
      <c r="S91" s="75">
        <f t="shared" si="101"/>
        <v>0</v>
      </c>
      <c r="T91" s="75">
        <f t="shared" si="101"/>
        <v>0</v>
      </c>
      <c r="U91" s="75">
        <f t="shared" si="101"/>
        <v>0</v>
      </c>
      <c r="V91" s="75">
        <f t="shared" si="101"/>
        <v>0</v>
      </c>
      <c r="W91" s="75">
        <f t="shared" si="101"/>
        <v>0</v>
      </c>
      <c r="X91" s="75">
        <f t="shared" si="101"/>
        <v>0</v>
      </c>
      <c r="Y91" s="75">
        <f t="shared" si="101"/>
        <v>0</v>
      </c>
      <c r="Z91" s="75">
        <f t="shared" si="101"/>
        <v>0</v>
      </c>
      <c r="AA91" s="75">
        <f t="shared" si="101"/>
        <v>0</v>
      </c>
      <c r="AB91" s="75">
        <f t="shared" si="101"/>
        <v>0</v>
      </c>
      <c r="AC91" s="75">
        <f t="shared" si="101"/>
        <v>0</v>
      </c>
      <c r="AD91" s="75">
        <f t="shared" si="101"/>
        <v>0</v>
      </c>
      <c r="AE91" s="75">
        <f t="shared" si="101"/>
        <v>0</v>
      </c>
      <c r="AF91" s="75">
        <f t="shared" si="101"/>
        <v>0</v>
      </c>
      <c r="AG91" s="75">
        <f t="shared" si="101"/>
        <v>0</v>
      </c>
      <c r="AH91" s="75">
        <f t="shared" si="101"/>
        <v>0</v>
      </c>
      <c r="AI91" s="75">
        <f t="shared" si="101"/>
        <v>0</v>
      </c>
      <c r="AJ91" s="75">
        <f t="shared" si="101"/>
        <v>0</v>
      </c>
      <c r="AK91" s="75">
        <f t="shared" si="101"/>
        <v>0</v>
      </c>
      <c r="AL91" s="75">
        <f t="shared" si="101"/>
        <v>0</v>
      </c>
      <c r="AM91" s="75">
        <f t="shared" si="101"/>
        <v>0</v>
      </c>
      <c r="AN91" s="75">
        <f t="shared" si="101"/>
        <v>0</v>
      </c>
      <c r="AO91" s="75">
        <f t="shared" si="101"/>
        <v>0</v>
      </c>
      <c r="AP91" s="75">
        <f t="shared" si="101"/>
        <v>0</v>
      </c>
      <c r="AQ91" s="75">
        <f t="shared" si="101"/>
        <v>0</v>
      </c>
      <c r="AR91" s="75">
        <f t="shared" si="101"/>
        <v>0</v>
      </c>
      <c r="AS91" s="75">
        <f t="shared" si="101"/>
        <v>0</v>
      </c>
      <c r="AT91" s="75">
        <f t="shared" si="101"/>
        <v>0</v>
      </c>
      <c r="AU91" s="75">
        <f t="shared" si="101"/>
        <v>0</v>
      </c>
      <c r="AV91" s="75">
        <f t="shared" si="101"/>
        <v>0</v>
      </c>
      <c r="AW91" s="75">
        <f t="shared" si="101"/>
        <v>0</v>
      </c>
      <c r="AX91" s="75">
        <f t="shared" si="101"/>
        <v>0</v>
      </c>
      <c r="AY91" s="75">
        <f t="shared" si="101"/>
        <v>0</v>
      </c>
      <c r="AZ91" s="75">
        <f t="shared" si="101"/>
        <v>0</v>
      </c>
      <c r="BA91" s="75">
        <f t="shared" si="101"/>
        <v>0</v>
      </c>
      <c r="BB91" s="75">
        <f t="shared" si="101"/>
        <v>0</v>
      </c>
      <c r="BC91" s="75">
        <f t="shared" si="101"/>
        <v>0</v>
      </c>
      <c r="BD91" s="61"/>
      <c r="BE91" s="75">
        <f t="shared" si="99"/>
        <v>0</v>
      </c>
      <c r="BF91" s="75">
        <f t="shared" si="100"/>
        <v>0</v>
      </c>
      <c r="BG91" s="75">
        <f t="shared" si="100"/>
        <v>0</v>
      </c>
      <c r="BH91" s="75">
        <f t="shared" si="100"/>
        <v>0</v>
      </c>
    </row>
    <row r="92" spans="2:60" ht="21" customHeight="1" x14ac:dyDescent="0.3">
      <c r="B92" s="60" t="s">
        <v>367</v>
      </c>
      <c r="C92" s="48">
        <f>C84</f>
        <v>43891</v>
      </c>
      <c r="D92" s="48">
        <f>D85</f>
        <v>44165</v>
      </c>
      <c r="E92" s="47">
        <v>1</v>
      </c>
      <c r="F92" s="75"/>
      <c r="G92" s="75"/>
      <c r="H92" s="161">
        <f>IF(AND(H$5=1,$G92&lt;&gt;""),$G92-H91,IF(AND(H$5=2,$F92&lt;&gt;""),$F92-H91,0))</f>
        <v>0</v>
      </c>
      <c r="I92" s="161">
        <f t="shared" ref="I92" si="102">IF(AND(I$5=1,$G92&lt;&gt;""),$G92-I91,IF(AND(I$5=2,$F92&lt;&gt;""),$F92-I91,0))</f>
        <v>0</v>
      </c>
      <c r="J92" s="161">
        <f t="shared" ref="J92" si="103">IF(AND(J$5=1,$G92&lt;&gt;""),$G92-J91,IF(AND(J$5=2,$F92&lt;&gt;""),$F92-J91,0))</f>
        <v>0</v>
      </c>
      <c r="K92" s="161">
        <f t="shared" ref="K92" si="104">IF(AND(K$5=1,$G92&lt;&gt;""),$G92-K91,IF(AND(K$5=2,$F92&lt;&gt;""),$F92-K91,0))</f>
        <v>0</v>
      </c>
      <c r="L92" s="161">
        <f t="shared" ref="L92" si="105">IF(AND(L$5=1,$G92&lt;&gt;""),$G92-L91,IF(AND(L$5=2,$F92&lt;&gt;""),$F92-L91,0))</f>
        <v>0</v>
      </c>
      <c r="M92" s="161">
        <f t="shared" ref="M92" si="106">IF(AND(M$5=1,$G92&lt;&gt;""),$G92-M91,IF(AND(M$5=2,$F92&lt;&gt;""),$F92-M91,0))</f>
        <v>0</v>
      </c>
      <c r="N92" s="161">
        <f t="shared" ref="N92" si="107">IF(AND(N$5=1,$G92&lt;&gt;""),$G92-N91,IF(AND(N$5=2,$F92&lt;&gt;""),$F92-N91,0))</f>
        <v>0</v>
      </c>
      <c r="O92" s="161">
        <f t="shared" ref="O92" si="108">IF(AND(O$5=1,$G92&lt;&gt;""),$G92-O91,IF(AND(O$5=2,$F92&lt;&gt;""),$F92-O91,0))</f>
        <v>0</v>
      </c>
      <c r="P92" s="161">
        <f t="shared" ref="P92" si="109">IF(AND(P$5=1,$G92&lt;&gt;""),$G92-P91,IF(AND(P$5=2,$F92&lt;&gt;""),$F92-P91,0))</f>
        <v>0</v>
      </c>
      <c r="Q92" s="161">
        <f t="shared" ref="Q92" si="110">IF(AND(Q$5=1,$G92&lt;&gt;""),$G92-Q91,IF(AND(Q$5=2,$F92&lt;&gt;""),$F92-Q91,0))</f>
        <v>0</v>
      </c>
      <c r="R92" s="161">
        <f t="shared" ref="R92" si="111">IF(AND(R$5=1,$G92&lt;&gt;""),$G92-R91,IF(AND(R$5=2,$F92&lt;&gt;""),$F92-R91,0))</f>
        <v>0</v>
      </c>
      <c r="S92" s="161">
        <f t="shared" ref="S92" si="112">IF(AND(S$5=1,$G92&lt;&gt;""),$G92-S91,IF(AND(S$5=2,$F92&lt;&gt;""),$F92-S91,0))</f>
        <v>0</v>
      </c>
      <c r="T92" s="161">
        <f t="shared" ref="T92" si="113">IF(AND(T$5=1,$G92&lt;&gt;""),$G92-T91,IF(AND(T$5=2,$F92&lt;&gt;""),$F92-T91,0))</f>
        <v>0</v>
      </c>
      <c r="U92" s="161">
        <f t="shared" ref="U92" si="114">IF(AND(U$5=1,$G92&lt;&gt;""),$G92-U91,IF(AND(U$5=2,$F92&lt;&gt;""),$F92-U91,0))</f>
        <v>0</v>
      </c>
      <c r="V92" s="161">
        <f t="shared" ref="V92" si="115">IF(AND(V$5=1,$G92&lt;&gt;""),$G92-V91,IF(AND(V$5=2,$F92&lt;&gt;""),$F92-V91,0))</f>
        <v>0</v>
      </c>
      <c r="W92" s="161">
        <f t="shared" ref="W92" si="116">IF(AND(W$5=1,$G92&lt;&gt;""),$G92-W91,IF(AND(W$5=2,$F92&lt;&gt;""),$F92-W91,0))</f>
        <v>0</v>
      </c>
      <c r="X92" s="161">
        <f t="shared" ref="X92" si="117">IF(AND(X$5=1,$G92&lt;&gt;""),$G92-X91,IF(AND(X$5=2,$F92&lt;&gt;""),$F92-X91,0))</f>
        <v>0</v>
      </c>
      <c r="Y92" s="161">
        <f t="shared" ref="Y92" si="118">IF(AND(Y$5=1,$G92&lt;&gt;""),$G92-Y91,IF(AND(Y$5=2,$F92&lt;&gt;""),$F92-Y91,0))</f>
        <v>0</v>
      </c>
      <c r="Z92" s="161">
        <f t="shared" ref="Z92" si="119">IF(AND(Z$5=1,$G92&lt;&gt;""),$G92-Z91,IF(AND(Z$5=2,$F92&lt;&gt;""),$F92-Z91,0))</f>
        <v>0</v>
      </c>
      <c r="AA92" s="161">
        <f t="shared" ref="AA92" si="120">IF(AND(AA$5=1,$G92&lt;&gt;""),$G92-AA91,IF(AND(AA$5=2,$F92&lt;&gt;""),$F92-AA91,0))</f>
        <v>0</v>
      </c>
      <c r="AB92" s="161">
        <f t="shared" ref="AB92" si="121">IF(AND(AB$5=1,$G92&lt;&gt;""),$G92-AB91,IF(AND(AB$5=2,$F92&lt;&gt;""),$F92-AB91,0))</f>
        <v>0</v>
      </c>
      <c r="AC92" s="161">
        <f t="shared" ref="AC92" si="122">IF(AND(AC$5=1,$G92&lt;&gt;""),$G92-AC91,IF(AND(AC$5=2,$F92&lt;&gt;""),$F92-AC91,0))</f>
        <v>0</v>
      </c>
      <c r="AD92" s="161">
        <f t="shared" ref="AD92" si="123">IF(AND(AD$5=1,$G92&lt;&gt;""),$G92-AD91,IF(AND(AD$5=2,$F92&lt;&gt;""),$F92-AD91,0))</f>
        <v>0</v>
      </c>
      <c r="AE92" s="161">
        <f t="shared" ref="AE92" si="124">IF(AND(AE$5=1,$G92&lt;&gt;""),$G92-AE91,IF(AND(AE$5=2,$F92&lt;&gt;""),$F92-AE91,0))</f>
        <v>0</v>
      </c>
      <c r="AF92" s="161">
        <f t="shared" ref="AF92" si="125">IF(AND(AF$5=1,$G92&lt;&gt;""),$G92-AF91,IF(AND(AF$5=2,$F92&lt;&gt;""),$F92-AF91,0))</f>
        <v>0</v>
      </c>
      <c r="AG92" s="161">
        <f t="shared" ref="AG92" si="126">IF(AND(AG$5=1,$G92&lt;&gt;""),$G92-AG91,IF(AND(AG$5=2,$F92&lt;&gt;""),$F92-AG91,0))</f>
        <v>0</v>
      </c>
      <c r="AH92" s="161">
        <f t="shared" ref="AH92" si="127">IF(AND(AH$5=1,$G92&lt;&gt;""),$G92-AH91,IF(AND(AH$5=2,$F92&lt;&gt;""),$F92-AH91,0))</f>
        <v>0</v>
      </c>
      <c r="AI92" s="161">
        <f t="shared" ref="AI92" si="128">IF(AND(AI$5=1,$G92&lt;&gt;""),$G92-AI91,IF(AND(AI$5=2,$F92&lt;&gt;""),$F92-AI91,0))</f>
        <v>0</v>
      </c>
      <c r="AJ92" s="161">
        <f t="shared" ref="AJ92" si="129">IF(AND(AJ$5=1,$G92&lt;&gt;""),$G92-AJ91,IF(AND(AJ$5=2,$F92&lt;&gt;""),$F92-AJ91,0))</f>
        <v>0</v>
      </c>
      <c r="AK92" s="161">
        <f t="shared" ref="AK92" si="130">IF(AND(AK$5=1,$G92&lt;&gt;""),$G92-AK91,IF(AND(AK$5=2,$F92&lt;&gt;""),$F92-AK91,0))</f>
        <v>0</v>
      </c>
      <c r="AL92" s="161">
        <f t="shared" ref="AL92" si="131">IF(AND(AL$5=1,$G92&lt;&gt;""),$G92-AL91,IF(AND(AL$5=2,$F92&lt;&gt;""),$F92-AL91,0))</f>
        <v>0</v>
      </c>
      <c r="AM92" s="161">
        <f t="shared" ref="AM92" si="132">IF(AND(AM$5=1,$G92&lt;&gt;""),$G92-AM91,IF(AND(AM$5=2,$F92&lt;&gt;""),$F92-AM91,0))</f>
        <v>0</v>
      </c>
      <c r="AN92" s="161">
        <f t="shared" ref="AN92" si="133">IF(AND(AN$5=1,$G92&lt;&gt;""),$G92-AN91,IF(AND(AN$5=2,$F92&lt;&gt;""),$F92-AN91,0))</f>
        <v>0</v>
      </c>
      <c r="AO92" s="161">
        <f t="shared" ref="AO92" si="134">IF(AND(AO$5=1,$G92&lt;&gt;""),$G92-AO91,IF(AND(AO$5=2,$F92&lt;&gt;""),$F92-AO91,0))</f>
        <v>0</v>
      </c>
      <c r="AP92" s="161">
        <f t="shared" ref="AP92" si="135">IF(AND(AP$5=1,$G92&lt;&gt;""),$G92-AP91,IF(AND(AP$5=2,$F92&lt;&gt;""),$F92-AP91,0))</f>
        <v>0</v>
      </c>
      <c r="AQ92" s="161">
        <f t="shared" ref="AQ92" si="136">IF(AND(AQ$5=1,$G92&lt;&gt;""),$G92-AQ91,IF(AND(AQ$5=2,$F92&lt;&gt;""),$F92-AQ91,0))</f>
        <v>0</v>
      </c>
      <c r="AR92" s="161">
        <f t="shared" ref="AR92" si="137">IF(AND(AR$5=1,$G92&lt;&gt;""),$G92-AR91,IF(AND(AR$5=2,$F92&lt;&gt;""),$F92-AR91,0))</f>
        <v>0</v>
      </c>
      <c r="AS92" s="161">
        <f t="shared" ref="AS92" si="138">IF(AND(AS$5=1,$G92&lt;&gt;""),$G92-AS91,IF(AND(AS$5=2,$F92&lt;&gt;""),$F92-AS91,0))</f>
        <v>0</v>
      </c>
      <c r="AT92" s="161">
        <f t="shared" ref="AT92" si="139">IF(AND(AT$5=1,$G92&lt;&gt;""),$G92-AT91,IF(AND(AT$5=2,$F92&lt;&gt;""),$F92-AT91,0))</f>
        <v>0</v>
      </c>
      <c r="AU92" s="161">
        <f t="shared" ref="AU92" si="140">IF(AND(AU$5=1,$G92&lt;&gt;""),$G92-AU91,IF(AND(AU$5=2,$F92&lt;&gt;""),$F92-AU91,0))</f>
        <v>0</v>
      </c>
      <c r="AV92" s="161">
        <f t="shared" ref="AV92" si="141">IF(AND(AV$5=1,$G92&lt;&gt;""),$G92-AV91,IF(AND(AV$5=2,$F92&lt;&gt;""),$F92-AV91,0))</f>
        <v>0</v>
      </c>
      <c r="AW92" s="161">
        <f t="shared" ref="AW92" si="142">IF(AND(AW$5=1,$G92&lt;&gt;""),$G92-AW91,IF(AND(AW$5=2,$F92&lt;&gt;""),$F92-AW91,0))</f>
        <v>0</v>
      </c>
      <c r="AX92" s="161">
        <f t="shared" ref="AX92" si="143">IF(AND(AX$5=1,$G92&lt;&gt;""),$G92-AX91,IF(AND(AX$5=2,$F92&lt;&gt;""),$F92-AX91,0))</f>
        <v>0</v>
      </c>
      <c r="AY92" s="161">
        <f t="shared" ref="AY92" si="144">IF(AND(AY$5=1,$G92&lt;&gt;""),$G92-AY91,IF(AND(AY$5=2,$F92&lt;&gt;""),$F92-AY91,0))</f>
        <v>0</v>
      </c>
      <c r="AZ92" s="161">
        <f t="shared" ref="AZ92" si="145">IF(AND(AZ$5=1,$G92&lt;&gt;""),$G92-AZ91,IF(AND(AZ$5=2,$F92&lt;&gt;""),$F92-AZ91,0))</f>
        <v>0</v>
      </c>
      <c r="BA92" s="161">
        <f t="shared" ref="BA92" si="146">IF(AND(BA$5=1,$G92&lt;&gt;""),$G92-BA91,IF(AND(BA$5=2,$F92&lt;&gt;""),$F92-BA91,0))</f>
        <v>0</v>
      </c>
      <c r="BB92" s="161">
        <f t="shared" ref="BB92" si="147">IF(AND(BB$5=1,$G92&lt;&gt;""),$G92-BB91,IF(AND(BB$5=2,$F92&lt;&gt;""),$F92-BB91,0))</f>
        <v>0</v>
      </c>
      <c r="BC92" s="161">
        <f t="shared" ref="BC92" si="148">IF(AND(BC$5=1,$G92&lt;&gt;""),$G92-BC91,IF(AND(BC$5=2,$F92&lt;&gt;""),$F92-BC91,0))</f>
        <v>0</v>
      </c>
      <c r="BE92" s="75">
        <f t="shared" si="99"/>
        <v>0</v>
      </c>
      <c r="BF92" s="75">
        <f t="shared" si="100"/>
        <v>0</v>
      </c>
      <c r="BG92" s="75">
        <f t="shared" si="100"/>
        <v>0</v>
      </c>
      <c r="BH92" s="75">
        <f t="shared" si="100"/>
        <v>0</v>
      </c>
    </row>
    <row r="93" spans="2:60" ht="21" customHeight="1" x14ac:dyDescent="0.3">
      <c r="B93" s="60" t="str">
        <f>$B$28</f>
        <v>YOC</v>
      </c>
      <c r="C93" s="48">
        <f>IF(C$28="","",C$28)</f>
        <v>43922</v>
      </c>
      <c r="D93" s="48" t="str">
        <f>IF(D$28="","",D$28)</f>
        <v/>
      </c>
      <c r="E93" s="47">
        <f>IF(E$28="","",E$28)</f>
        <v>12</v>
      </c>
      <c r="F93" s="79">
        <f>IF(YOC_Include="Yes",YOC!C54,0)</f>
        <v>0</v>
      </c>
      <c r="G93" s="75"/>
      <c r="H93" s="75">
        <f>IFERROR(MIN(1,MAX(0,(EOMONTH(H$4,0)+1-$C93)/(EDATE($C93,$E93)-$C93)))*$F93/12+IF(AND(H$4&gt;=EOMONTH($C93,0),H$4&lt;=EOMONTH($C93,11)),$G93/12,0),0)</f>
        <v>0</v>
      </c>
      <c r="I93" s="75">
        <f t="shared" ref="I93:BC98" si="149">IFERROR(MIN(1,MAX(0,(EOMONTH(I$4,0)+1-$C93)/(EDATE($C93,$E93)-$C93)))*$F93/12+IF(AND(I$4&gt;=EOMONTH($C93,0),I$4&lt;=EOMONTH($C93,11)),$G93/12,0),0)</f>
        <v>0</v>
      </c>
      <c r="J93" s="75">
        <f t="shared" si="149"/>
        <v>0</v>
      </c>
      <c r="K93" s="75">
        <f t="shared" si="149"/>
        <v>0</v>
      </c>
      <c r="L93" s="75">
        <f t="shared" si="149"/>
        <v>0</v>
      </c>
      <c r="M93" s="75">
        <f t="shared" si="149"/>
        <v>0</v>
      </c>
      <c r="N93" s="75">
        <f t="shared" si="149"/>
        <v>0</v>
      </c>
      <c r="O93" s="75">
        <f t="shared" si="149"/>
        <v>0</v>
      </c>
      <c r="P93" s="75">
        <f t="shared" si="149"/>
        <v>0</v>
      </c>
      <c r="Q93" s="75">
        <f t="shared" si="149"/>
        <v>0</v>
      </c>
      <c r="R93" s="75">
        <f t="shared" si="149"/>
        <v>0</v>
      </c>
      <c r="S93" s="75">
        <f t="shared" si="149"/>
        <v>0</v>
      </c>
      <c r="T93" s="75">
        <f t="shared" si="149"/>
        <v>0</v>
      </c>
      <c r="U93" s="75">
        <f t="shared" si="149"/>
        <v>0</v>
      </c>
      <c r="V93" s="75">
        <f t="shared" si="149"/>
        <v>0</v>
      </c>
      <c r="W93" s="75">
        <f t="shared" si="149"/>
        <v>0</v>
      </c>
      <c r="X93" s="75">
        <f t="shared" si="149"/>
        <v>0</v>
      </c>
      <c r="Y93" s="75">
        <f t="shared" si="149"/>
        <v>0</v>
      </c>
      <c r="Z93" s="75">
        <f t="shared" si="149"/>
        <v>0</v>
      </c>
      <c r="AA93" s="75">
        <f t="shared" si="149"/>
        <v>0</v>
      </c>
      <c r="AB93" s="75">
        <f t="shared" si="149"/>
        <v>0</v>
      </c>
      <c r="AC93" s="75">
        <f t="shared" si="149"/>
        <v>0</v>
      </c>
      <c r="AD93" s="75">
        <f t="shared" si="149"/>
        <v>0</v>
      </c>
      <c r="AE93" s="75">
        <f t="shared" si="149"/>
        <v>0</v>
      </c>
      <c r="AF93" s="75">
        <f t="shared" si="149"/>
        <v>0</v>
      </c>
      <c r="AG93" s="75">
        <f t="shared" si="149"/>
        <v>0</v>
      </c>
      <c r="AH93" s="75">
        <f t="shared" si="149"/>
        <v>0</v>
      </c>
      <c r="AI93" s="75">
        <f t="shared" si="149"/>
        <v>0</v>
      </c>
      <c r="AJ93" s="75">
        <f t="shared" si="149"/>
        <v>0</v>
      </c>
      <c r="AK93" s="75">
        <f t="shared" si="149"/>
        <v>0</v>
      </c>
      <c r="AL93" s="75">
        <f t="shared" si="149"/>
        <v>0</v>
      </c>
      <c r="AM93" s="75">
        <f t="shared" si="149"/>
        <v>0</v>
      </c>
      <c r="AN93" s="75">
        <f t="shared" si="149"/>
        <v>0</v>
      </c>
      <c r="AO93" s="75">
        <f t="shared" si="149"/>
        <v>0</v>
      </c>
      <c r="AP93" s="75">
        <f t="shared" si="149"/>
        <v>0</v>
      </c>
      <c r="AQ93" s="75">
        <f t="shared" si="149"/>
        <v>0</v>
      </c>
      <c r="AR93" s="75">
        <f t="shared" si="149"/>
        <v>0</v>
      </c>
      <c r="AS93" s="75">
        <f t="shared" si="149"/>
        <v>0</v>
      </c>
      <c r="AT93" s="75">
        <f t="shared" si="149"/>
        <v>0</v>
      </c>
      <c r="AU93" s="75">
        <f t="shared" si="149"/>
        <v>0</v>
      </c>
      <c r="AV93" s="75">
        <f t="shared" si="149"/>
        <v>0</v>
      </c>
      <c r="AW93" s="75">
        <f t="shared" si="149"/>
        <v>0</v>
      </c>
      <c r="AX93" s="75">
        <f t="shared" si="149"/>
        <v>0</v>
      </c>
      <c r="AY93" s="75">
        <f t="shared" si="149"/>
        <v>0</v>
      </c>
      <c r="AZ93" s="75">
        <f t="shared" si="149"/>
        <v>0</v>
      </c>
      <c r="BA93" s="75">
        <f t="shared" si="149"/>
        <v>0</v>
      </c>
      <c r="BB93" s="75">
        <f t="shared" si="149"/>
        <v>0</v>
      </c>
      <c r="BC93" s="75">
        <f t="shared" si="149"/>
        <v>0</v>
      </c>
      <c r="BD93" s="61"/>
      <c r="BE93" s="75">
        <f t="shared" si="99"/>
        <v>0</v>
      </c>
      <c r="BF93" s="75">
        <f t="shared" si="100"/>
        <v>0</v>
      </c>
      <c r="BG93" s="75">
        <f t="shared" si="100"/>
        <v>0</v>
      </c>
      <c r="BH93" s="75">
        <f t="shared" si="100"/>
        <v>0</v>
      </c>
    </row>
    <row r="94" spans="2:60" ht="21" customHeight="1" x14ac:dyDescent="0.3">
      <c r="B94" s="60" t="str">
        <f>$B$29</f>
        <v>Extended hours</v>
      </c>
      <c r="C94" s="48">
        <f>IF(C$29="","",C$29)</f>
        <v>43922</v>
      </c>
      <c r="D94" s="48" t="str">
        <f>IF(D$29="","",D$29)</f>
        <v/>
      </c>
      <c r="E94" s="47">
        <f>IF(E$29="","",E$29)</f>
        <v>1</v>
      </c>
      <c r="F94" s="79"/>
      <c r="G94" s="75"/>
      <c r="H94" s="75">
        <f>IFERROR(MIN(1,MAX(0,(EOMONTH(H$4,0)+1-$C94)/(EDATE($C94,$E94)-$C94)))*$F94/12+IF(AND(H$4&gt;=EOMONTH($C94,0),H$4&lt;=EOMONTH($C94,11)),$G94/12,0),0)</f>
        <v>0</v>
      </c>
      <c r="I94" s="75">
        <f t="shared" si="149"/>
        <v>0</v>
      </c>
      <c r="J94" s="75">
        <f t="shared" si="149"/>
        <v>0</v>
      </c>
      <c r="K94" s="75">
        <f t="shared" si="149"/>
        <v>0</v>
      </c>
      <c r="L94" s="75">
        <f t="shared" si="149"/>
        <v>0</v>
      </c>
      <c r="M94" s="75">
        <f t="shared" si="149"/>
        <v>0</v>
      </c>
      <c r="N94" s="75">
        <f t="shared" si="149"/>
        <v>0</v>
      </c>
      <c r="O94" s="75">
        <f t="shared" si="149"/>
        <v>0</v>
      </c>
      <c r="P94" s="75">
        <f t="shared" si="149"/>
        <v>0</v>
      </c>
      <c r="Q94" s="75">
        <f t="shared" si="149"/>
        <v>0</v>
      </c>
      <c r="R94" s="75">
        <f t="shared" si="149"/>
        <v>0</v>
      </c>
      <c r="S94" s="75">
        <f t="shared" si="149"/>
        <v>0</v>
      </c>
      <c r="T94" s="75">
        <f t="shared" si="149"/>
        <v>0</v>
      </c>
      <c r="U94" s="75">
        <f t="shared" si="149"/>
        <v>0</v>
      </c>
      <c r="V94" s="75">
        <f t="shared" si="149"/>
        <v>0</v>
      </c>
      <c r="W94" s="75">
        <f t="shared" si="149"/>
        <v>0</v>
      </c>
      <c r="X94" s="75">
        <f t="shared" si="149"/>
        <v>0</v>
      </c>
      <c r="Y94" s="75">
        <f t="shared" si="149"/>
        <v>0</v>
      </c>
      <c r="Z94" s="75">
        <f t="shared" si="149"/>
        <v>0</v>
      </c>
      <c r="AA94" s="75">
        <f t="shared" si="149"/>
        <v>0</v>
      </c>
      <c r="AB94" s="75">
        <f t="shared" si="149"/>
        <v>0</v>
      </c>
      <c r="AC94" s="75">
        <f t="shared" si="149"/>
        <v>0</v>
      </c>
      <c r="AD94" s="75">
        <f t="shared" si="149"/>
        <v>0</v>
      </c>
      <c r="AE94" s="75">
        <f t="shared" si="149"/>
        <v>0</v>
      </c>
      <c r="AF94" s="75">
        <f t="shared" si="149"/>
        <v>0</v>
      </c>
      <c r="AG94" s="75">
        <f t="shared" si="149"/>
        <v>0</v>
      </c>
      <c r="AH94" s="75">
        <f t="shared" si="149"/>
        <v>0</v>
      </c>
      <c r="AI94" s="75">
        <f t="shared" si="149"/>
        <v>0</v>
      </c>
      <c r="AJ94" s="75">
        <f t="shared" si="149"/>
        <v>0</v>
      </c>
      <c r="AK94" s="75">
        <f t="shared" si="149"/>
        <v>0</v>
      </c>
      <c r="AL94" s="75">
        <f t="shared" si="149"/>
        <v>0</v>
      </c>
      <c r="AM94" s="75">
        <f t="shared" si="149"/>
        <v>0</v>
      </c>
      <c r="AN94" s="75">
        <f t="shared" si="149"/>
        <v>0</v>
      </c>
      <c r="AO94" s="75">
        <f t="shared" si="149"/>
        <v>0</v>
      </c>
      <c r="AP94" s="75">
        <f t="shared" si="149"/>
        <v>0</v>
      </c>
      <c r="AQ94" s="75">
        <f t="shared" si="149"/>
        <v>0</v>
      </c>
      <c r="AR94" s="75">
        <f t="shared" si="149"/>
        <v>0</v>
      </c>
      <c r="AS94" s="75">
        <f t="shared" si="149"/>
        <v>0</v>
      </c>
      <c r="AT94" s="75">
        <f t="shared" si="149"/>
        <v>0</v>
      </c>
      <c r="AU94" s="75">
        <f t="shared" si="149"/>
        <v>0</v>
      </c>
      <c r="AV94" s="75">
        <f t="shared" si="149"/>
        <v>0</v>
      </c>
      <c r="AW94" s="75">
        <f t="shared" si="149"/>
        <v>0</v>
      </c>
      <c r="AX94" s="75">
        <f t="shared" si="149"/>
        <v>0</v>
      </c>
      <c r="AY94" s="75">
        <f t="shared" si="149"/>
        <v>0</v>
      </c>
      <c r="AZ94" s="75">
        <f t="shared" si="149"/>
        <v>0</v>
      </c>
      <c r="BA94" s="75">
        <f t="shared" si="149"/>
        <v>0</v>
      </c>
      <c r="BB94" s="75">
        <f t="shared" si="149"/>
        <v>0</v>
      </c>
      <c r="BC94" s="75">
        <f t="shared" si="149"/>
        <v>0</v>
      </c>
      <c r="BD94" s="61"/>
      <c r="BE94" s="75">
        <f t="shared" si="99"/>
        <v>0</v>
      </c>
      <c r="BF94" s="75">
        <f t="shared" si="100"/>
        <v>0</v>
      </c>
      <c r="BG94" s="75">
        <f t="shared" si="100"/>
        <v>0</v>
      </c>
      <c r="BH94" s="75">
        <f t="shared" si="100"/>
        <v>0</v>
      </c>
    </row>
    <row r="95" spans="2:60" ht="21" customHeight="1" x14ac:dyDescent="0.3">
      <c r="B95" s="60" t="str">
        <f>$B$30</f>
        <v>Multi-discliplinary Team Meetings</v>
      </c>
      <c r="C95" s="48">
        <f>IF(C$30="","",C$30)</f>
        <v>43922</v>
      </c>
      <c r="D95" s="48" t="str">
        <f>IF(D$30="","",D$30)</f>
        <v/>
      </c>
      <c r="E95" s="47">
        <f>IF(E$30="","",E$30)</f>
        <v>6</v>
      </c>
      <c r="F95" s="79">
        <f>MDT!C41</f>
        <v>0</v>
      </c>
      <c r="G95" s="75"/>
      <c r="H95" s="75">
        <f>IFERROR(MIN(1,MAX(0,(EOMONTH(H$4,0)+1-$C95)/(EDATE($C95,$E95)-$C95)))*$F95/12+IF(AND(H$4&gt;=EOMONTH($C95,0),H$4&lt;=EOMONTH($C95,11)),$G95/12,0),0)</f>
        <v>0</v>
      </c>
      <c r="I95" s="75">
        <f t="shared" si="149"/>
        <v>0</v>
      </c>
      <c r="J95" s="75">
        <f t="shared" si="149"/>
        <v>0</v>
      </c>
      <c r="K95" s="75">
        <f t="shared" si="149"/>
        <v>0</v>
      </c>
      <c r="L95" s="75">
        <f t="shared" si="149"/>
        <v>0</v>
      </c>
      <c r="M95" s="75">
        <f t="shared" si="149"/>
        <v>0</v>
      </c>
      <c r="N95" s="75">
        <f t="shared" si="149"/>
        <v>0</v>
      </c>
      <c r="O95" s="75">
        <f t="shared" si="149"/>
        <v>0</v>
      </c>
      <c r="P95" s="75">
        <f t="shared" si="149"/>
        <v>0</v>
      </c>
      <c r="Q95" s="75">
        <f t="shared" si="149"/>
        <v>0</v>
      </c>
      <c r="R95" s="75">
        <f t="shared" si="149"/>
        <v>0</v>
      </c>
      <c r="S95" s="75">
        <f t="shared" si="149"/>
        <v>0</v>
      </c>
      <c r="T95" s="75">
        <f t="shared" si="149"/>
        <v>0</v>
      </c>
      <c r="U95" s="75">
        <f t="shared" si="149"/>
        <v>0</v>
      </c>
      <c r="V95" s="75">
        <f t="shared" si="149"/>
        <v>0</v>
      </c>
      <c r="W95" s="75">
        <f t="shared" si="149"/>
        <v>0</v>
      </c>
      <c r="X95" s="75">
        <f t="shared" si="149"/>
        <v>0</v>
      </c>
      <c r="Y95" s="75">
        <f t="shared" si="149"/>
        <v>0</v>
      </c>
      <c r="Z95" s="75">
        <f t="shared" si="149"/>
        <v>0</v>
      </c>
      <c r="AA95" s="75">
        <f t="shared" si="149"/>
        <v>0</v>
      </c>
      <c r="AB95" s="75">
        <f t="shared" si="149"/>
        <v>0</v>
      </c>
      <c r="AC95" s="75">
        <f t="shared" si="149"/>
        <v>0</v>
      </c>
      <c r="AD95" s="75">
        <f t="shared" si="149"/>
        <v>0</v>
      </c>
      <c r="AE95" s="75">
        <f t="shared" si="149"/>
        <v>0</v>
      </c>
      <c r="AF95" s="75">
        <f t="shared" si="149"/>
        <v>0</v>
      </c>
      <c r="AG95" s="75">
        <f t="shared" si="149"/>
        <v>0</v>
      </c>
      <c r="AH95" s="75">
        <f t="shared" si="149"/>
        <v>0</v>
      </c>
      <c r="AI95" s="75">
        <f t="shared" si="149"/>
        <v>0</v>
      </c>
      <c r="AJ95" s="75">
        <f t="shared" si="149"/>
        <v>0</v>
      </c>
      <c r="AK95" s="75">
        <f t="shared" si="149"/>
        <v>0</v>
      </c>
      <c r="AL95" s="75">
        <f t="shared" si="149"/>
        <v>0</v>
      </c>
      <c r="AM95" s="75">
        <f t="shared" si="149"/>
        <v>0</v>
      </c>
      <c r="AN95" s="75">
        <f t="shared" si="149"/>
        <v>0</v>
      </c>
      <c r="AO95" s="75">
        <f t="shared" si="149"/>
        <v>0</v>
      </c>
      <c r="AP95" s="75">
        <f t="shared" si="149"/>
        <v>0</v>
      </c>
      <c r="AQ95" s="75">
        <f t="shared" si="149"/>
        <v>0</v>
      </c>
      <c r="AR95" s="75">
        <f t="shared" si="149"/>
        <v>0</v>
      </c>
      <c r="AS95" s="75">
        <f t="shared" si="149"/>
        <v>0</v>
      </c>
      <c r="AT95" s="75">
        <f t="shared" si="149"/>
        <v>0</v>
      </c>
      <c r="AU95" s="75">
        <f t="shared" si="149"/>
        <v>0</v>
      </c>
      <c r="AV95" s="75">
        <f t="shared" si="149"/>
        <v>0</v>
      </c>
      <c r="AW95" s="75">
        <f t="shared" si="149"/>
        <v>0</v>
      </c>
      <c r="AX95" s="75">
        <f t="shared" si="149"/>
        <v>0</v>
      </c>
      <c r="AY95" s="75">
        <f t="shared" si="149"/>
        <v>0</v>
      </c>
      <c r="AZ95" s="75">
        <f t="shared" si="149"/>
        <v>0</v>
      </c>
      <c r="BA95" s="75">
        <f t="shared" si="149"/>
        <v>0</v>
      </c>
      <c r="BB95" s="75">
        <f t="shared" si="149"/>
        <v>0</v>
      </c>
      <c r="BC95" s="75">
        <f t="shared" si="149"/>
        <v>0</v>
      </c>
      <c r="BD95" s="61"/>
      <c r="BE95" s="75">
        <f t="shared" si="99"/>
        <v>0</v>
      </c>
      <c r="BF95" s="75">
        <f t="shared" si="100"/>
        <v>0</v>
      </c>
      <c r="BG95" s="75">
        <f t="shared" si="100"/>
        <v>0</v>
      </c>
      <c r="BH95" s="75">
        <f t="shared" si="100"/>
        <v>0</v>
      </c>
    </row>
    <row r="96" spans="2:60" ht="21" customHeight="1" x14ac:dyDescent="0.3">
      <c r="B96" s="60" t="str">
        <f>$B$31</f>
        <v>Huddles</v>
      </c>
      <c r="C96" s="48">
        <f>IF(C$31="","",C$31)</f>
        <v>43922</v>
      </c>
      <c r="D96" s="48" t="str">
        <f>IF(D$31="","",D$31)</f>
        <v/>
      </c>
      <c r="E96" s="47"/>
      <c r="F96" s="79">
        <f>Huddles!C57</f>
        <v>0</v>
      </c>
      <c r="G96" s="75"/>
      <c r="H96" s="75">
        <f>IFERROR(MIN(1,MAX(0,(EOMONTH(H$4,0)+1-$C96)/(EDATE($C96,$E96)-$C96)))*$F96/12+IF(AND(H$4&gt;=EOMONTH($C96,0),H$4&lt;=EOMONTH($C96,11)),$G96/12,0),0)</f>
        <v>0</v>
      </c>
      <c r="I96" s="75">
        <f t="shared" si="149"/>
        <v>0</v>
      </c>
      <c r="J96" s="75">
        <f t="shared" si="149"/>
        <v>0</v>
      </c>
      <c r="K96" s="75">
        <f t="shared" si="149"/>
        <v>0</v>
      </c>
      <c r="L96" s="75">
        <f t="shared" si="149"/>
        <v>0</v>
      </c>
      <c r="M96" s="75">
        <f t="shared" si="149"/>
        <v>0</v>
      </c>
      <c r="N96" s="75">
        <f t="shared" si="149"/>
        <v>0</v>
      </c>
      <c r="O96" s="75">
        <f t="shared" si="149"/>
        <v>0</v>
      </c>
      <c r="P96" s="75">
        <f t="shared" si="149"/>
        <v>0</v>
      </c>
      <c r="Q96" s="75">
        <f t="shared" si="149"/>
        <v>0</v>
      </c>
      <c r="R96" s="75">
        <f t="shared" si="149"/>
        <v>0</v>
      </c>
      <c r="S96" s="75">
        <f t="shared" si="149"/>
        <v>0</v>
      </c>
      <c r="T96" s="75">
        <f t="shared" si="149"/>
        <v>0</v>
      </c>
      <c r="U96" s="75">
        <f t="shared" si="149"/>
        <v>0</v>
      </c>
      <c r="V96" s="75">
        <f t="shared" si="149"/>
        <v>0</v>
      </c>
      <c r="W96" s="75">
        <f t="shared" si="149"/>
        <v>0</v>
      </c>
      <c r="X96" s="75">
        <f t="shared" si="149"/>
        <v>0</v>
      </c>
      <c r="Y96" s="75">
        <f t="shared" si="149"/>
        <v>0</v>
      </c>
      <c r="Z96" s="75">
        <f t="shared" si="149"/>
        <v>0</v>
      </c>
      <c r="AA96" s="75">
        <f t="shared" si="149"/>
        <v>0</v>
      </c>
      <c r="AB96" s="75">
        <f t="shared" si="149"/>
        <v>0</v>
      </c>
      <c r="AC96" s="75">
        <f t="shared" si="149"/>
        <v>0</v>
      </c>
      <c r="AD96" s="75">
        <f t="shared" si="149"/>
        <v>0</v>
      </c>
      <c r="AE96" s="75">
        <f t="shared" si="149"/>
        <v>0</v>
      </c>
      <c r="AF96" s="75">
        <f t="shared" si="149"/>
        <v>0</v>
      </c>
      <c r="AG96" s="75">
        <f t="shared" si="149"/>
        <v>0</v>
      </c>
      <c r="AH96" s="75">
        <f t="shared" si="149"/>
        <v>0</v>
      </c>
      <c r="AI96" s="75">
        <f t="shared" si="149"/>
        <v>0</v>
      </c>
      <c r="AJ96" s="75">
        <f t="shared" si="149"/>
        <v>0</v>
      </c>
      <c r="AK96" s="75">
        <f t="shared" si="149"/>
        <v>0</v>
      </c>
      <c r="AL96" s="75">
        <f t="shared" si="149"/>
        <v>0</v>
      </c>
      <c r="AM96" s="75">
        <f t="shared" si="149"/>
        <v>0</v>
      </c>
      <c r="AN96" s="75">
        <f t="shared" si="149"/>
        <v>0</v>
      </c>
      <c r="AO96" s="75">
        <f t="shared" si="149"/>
        <v>0</v>
      </c>
      <c r="AP96" s="75">
        <f t="shared" si="149"/>
        <v>0</v>
      </c>
      <c r="AQ96" s="75">
        <f t="shared" si="149"/>
        <v>0</v>
      </c>
      <c r="AR96" s="75">
        <f t="shared" si="149"/>
        <v>0</v>
      </c>
      <c r="AS96" s="75">
        <f t="shared" si="149"/>
        <v>0</v>
      </c>
      <c r="AT96" s="75">
        <f t="shared" si="149"/>
        <v>0</v>
      </c>
      <c r="AU96" s="75">
        <f t="shared" si="149"/>
        <v>0</v>
      </c>
      <c r="AV96" s="75">
        <f t="shared" si="149"/>
        <v>0</v>
      </c>
      <c r="AW96" s="75">
        <f t="shared" si="149"/>
        <v>0</v>
      </c>
      <c r="AX96" s="75">
        <f t="shared" si="149"/>
        <v>0</v>
      </c>
      <c r="AY96" s="75">
        <f t="shared" si="149"/>
        <v>0</v>
      </c>
      <c r="AZ96" s="75">
        <f t="shared" si="149"/>
        <v>0</v>
      </c>
      <c r="BA96" s="75">
        <f t="shared" si="149"/>
        <v>0</v>
      </c>
      <c r="BB96" s="75">
        <f t="shared" si="149"/>
        <v>0</v>
      </c>
      <c r="BC96" s="75">
        <f t="shared" si="149"/>
        <v>0</v>
      </c>
      <c r="BD96" s="61"/>
      <c r="BE96" s="75">
        <f t="shared" si="99"/>
        <v>0</v>
      </c>
      <c r="BF96" s="75">
        <f t="shared" si="100"/>
        <v>0</v>
      </c>
      <c r="BG96" s="75">
        <f t="shared" si="100"/>
        <v>0</v>
      </c>
      <c r="BH96" s="75">
        <f t="shared" si="100"/>
        <v>0</v>
      </c>
    </row>
    <row r="97" spans="2:60" ht="21" customHeight="1" x14ac:dyDescent="0.3">
      <c r="B97" s="60" t="str">
        <f>$B$32</f>
        <v>Health Care Assistants</v>
      </c>
      <c r="C97" s="48">
        <f>IF(C$32="","",C$32)</f>
        <v>43922</v>
      </c>
      <c r="D97" s="48" t="str">
        <f>IF(D$32="","",D$32)</f>
        <v/>
      </c>
      <c r="E97" s="47">
        <f>IF(E$32="","",E$32)</f>
        <v>6</v>
      </c>
      <c r="F97" s="79"/>
      <c r="G97" s="75"/>
      <c r="H97" s="75">
        <f>IFERROR(MIN(1,MAX(0,(EOMONTH(H$4,0)+1-$C97)/(EDATE($C97,$E97)-$C97)))*$F97/12+IF(AND(H$4&gt;=EOMONTH($C97,0),H$4&lt;=EOMONTH($C97,11)),$G97/12,0),0)</f>
        <v>0</v>
      </c>
      <c r="I97" s="75">
        <f t="shared" si="149"/>
        <v>0</v>
      </c>
      <c r="J97" s="75">
        <f t="shared" si="149"/>
        <v>0</v>
      </c>
      <c r="K97" s="75">
        <f t="shared" si="149"/>
        <v>0</v>
      </c>
      <c r="L97" s="75">
        <f t="shared" si="149"/>
        <v>0</v>
      </c>
      <c r="M97" s="75">
        <f t="shared" si="149"/>
        <v>0</v>
      </c>
      <c r="N97" s="75">
        <f t="shared" si="149"/>
        <v>0</v>
      </c>
      <c r="O97" s="75">
        <f t="shared" si="149"/>
        <v>0</v>
      </c>
      <c r="P97" s="75">
        <f t="shared" si="149"/>
        <v>0</v>
      </c>
      <c r="Q97" s="75">
        <f t="shared" si="149"/>
        <v>0</v>
      </c>
      <c r="R97" s="75">
        <f t="shared" si="149"/>
        <v>0</v>
      </c>
      <c r="S97" s="75">
        <f t="shared" si="149"/>
        <v>0</v>
      </c>
      <c r="T97" s="75">
        <f t="shared" si="149"/>
        <v>0</v>
      </c>
      <c r="U97" s="75">
        <f t="shared" si="149"/>
        <v>0</v>
      </c>
      <c r="V97" s="75">
        <f t="shared" si="149"/>
        <v>0</v>
      </c>
      <c r="W97" s="75">
        <f t="shared" si="149"/>
        <v>0</v>
      </c>
      <c r="X97" s="75">
        <f t="shared" si="149"/>
        <v>0</v>
      </c>
      <c r="Y97" s="75">
        <f t="shared" si="149"/>
        <v>0</v>
      </c>
      <c r="Z97" s="75">
        <f t="shared" si="149"/>
        <v>0</v>
      </c>
      <c r="AA97" s="75">
        <f t="shared" si="149"/>
        <v>0</v>
      </c>
      <c r="AB97" s="75">
        <f t="shared" si="149"/>
        <v>0</v>
      </c>
      <c r="AC97" s="75">
        <f t="shared" si="149"/>
        <v>0</v>
      </c>
      <c r="AD97" s="75">
        <f t="shared" si="149"/>
        <v>0</v>
      </c>
      <c r="AE97" s="75">
        <f t="shared" si="149"/>
        <v>0</v>
      </c>
      <c r="AF97" s="75">
        <f t="shared" si="149"/>
        <v>0</v>
      </c>
      <c r="AG97" s="75">
        <f t="shared" si="149"/>
        <v>0</v>
      </c>
      <c r="AH97" s="75">
        <f t="shared" si="149"/>
        <v>0</v>
      </c>
      <c r="AI97" s="75">
        <f t="shared" si="149"/>
        <v>0</v>
      </c>
      <c r="AJ97" s="75">
        <f t="shared" si="149"/>
        <v>0</v>
      </c>
      <c r="AK97" s="75">
        <f t="shared" si="149"/>
        <v>0</v>
      </c>
      <c r="AL97" s="75">
        <f t="shared" si="149"/>
        <v>0</v>
      </c>
      <c r="AM97" s="75">
        <f t="shared" si="149"/>
        <v>0</v>
      </c>
      <c r="AN97" s="75">
        <f t="shared" si="149"/>
        <v>0</v>
      </c>
      <c r="AO97" s="75">
        <f t="shared" si="149"/>
        <v>0</v>
      </c>
      <c r="AP97" s="75">
        <f t="shared" si="149"/>
        <v>0</v>
      </c>
      <c r="AQ97" s="75">
        <f t="shared" si="149"/>
        <v>0</v>
      </c>
      <c r="AR97" s="75">
        <f t="shared" si="149"/>
        <v>0</v>
      </c>
      <c r="AS97" s="75">
        <f t="shared" si="149"/>
        <v>0</v>
      </c>
      <c r="AT97" s="75">
        <f t="shared" si="149"/>
        <v>0</v>
      </c>
      <c r="AU97" s="75">
        <f t="shared" si="149"/>
        <v>0</v>
      </c>
      <c r="AV97" s="75">
        <f t="shared" si="149"/>
        <v>0</v>
      </c>
      <c r="AW97" s="75">
        <f t="shared" si="149"/>
        <v>0</v>
      </c>
      <c r="AX97" s="75">
        <f t="shared" si="149"/>
        <v>0</v>
      </c>
      <c r="AY97" s="75">
        <f t="shared" si="149"/>
        <v>0</v>
      </c>
      <c r="AZ97" s="75">
        <f t="shared" si="149"/>
        <v>0</v>
      </c>
      <c r="BA97" s="75">
        <f t="shared" si="149"/>
        <v>0</v>
      </c>
      <c r="BB97" s="75">
        <f t="shared" si="149"/>
        <v>0</v>
      </c>
      <c r="BC97" s="75">
        <f t="shared" si="149"/>
        <v>0</v>
      </c>
      <c r="BD97" s="61"/>
      <c r="BE97" s="75">
        <f t="shared" si="99"/>
        <v>0</v>
      </c>
      <c r="BF97" s="75">
        <f t="shared" si="100"/>
        <v>0</v>
      </c>
      <c r="BG97" s="75">
        <f t="shared" si="100"/>
        <v>0</v>
      </c>
      <c r="BH97" s="75">
        <f t="shared" si="100"/>
        <v>0</v>
      </c>
    </row>
    <row r="98" spans="2:60" ht="21" customHeight="1" x14ac:dyDescent="0.3">
      <c r="B98" s="60" t="str">
        <f>$B$33</f>
        <v>Patient portals</v>
      </c>
      <c r="C98" s="48">
        <f>IF(C$33="","",C$33)</f>
        <v>43922</v>
      </c>
      <c r="D98" s="48" t="str">
        <f>IF(D$33="","",D$33)</f>
        <v/>
      </c>
      <c r="E98" s="47">
        <f>IF(E$33="","",E$33)</f>
        <v>36</v>
      </c>
      <c r="F98" s="79">
        <f>'Patient Portal'!H42</f>
        <v>0</v>
      </c>
      <c r="G98" s="75"/>
      <c r="H98" s="75">
        <f>IFERROR(MIN(1,MAX(0,(EOMONTH(H$4,0)+1-$C98)/(EDATE($C98,$E98)-$C98)))*$F98/12+IF(AND(H$4&gt;=EOMONTH($C98,0),H$4&lt;=EOMONTH($C98,11)),$G98/12,0),0)</f>
        <v>0</v>
      </c>
      <c r="I98" s="75">
        <f t="shared" si="149"/>
        <v>0</v>
      </c>
      <c r="J98" s="75">
        <f t="shared" si="149"/>
        <v>0</v>
      </c>
      <c r="K98" s="75">
        <f t="shared" si="149"/>
        <v>0</v>
      </c>
      <c r="L98" s="75">
        <f t="shared" si="149"/>
        <v>0</v>
      </c>
      <c r="M98" s="75">
        <f t="shared" si="149"/>
        <v>0</v>
      </c>
      <c r="N98" s="75">
        <f t="shared" si="149"/>
        <v>0</v>
      </c>
      <c r="O98" s="75">
        <f t="shared" si="149"/>
        <v>0</v>
      </c>
      <c r="P98" s="75">
        <f t="shared" si="149"/>
        <v>0</v>
      </c>
      <c r="Q98" s="75">
        <f t="shared" si="149"/>
        <v>0</v>
      </c>
      <c r="R98" s="75">
        <f t="shared" si="149"/>
        <v>0</v>
      </c>
      <c r="S98" s="75">
        <f t="shared" si="149"/>
        <v>0</v>
      </c>
      <c r="T98" s="75">
        <f t="shared" si="149"/>
        <v>0</v>
      </c>
      <c r="U98" s="75">
        <f t="shared" si="149"/>
        <v>0</v>
      </c>
      <c r="V98" s="75">
        <f t="shared" si="149"/>
        <v>0</v>
      </c>
      <c r="W98" s="75">
        <f t="shared" si="149"/>
        <v>0</v>
      </c>
      <c r="X98" s="75">
        <f t="shared" si="149"/>
        <v>0</v>
      </c>
      <c r="Y98" s="75">
        <f t="shared" si="149"/>
        <v>0</v>
      </c>
      <c r="Z98" s="75">
        <f t="shared" si="149"/>
        <v>0</v>
      </c>
      <c r="AA98" s="75">
        <f t="shared" si="149"/>
        <v>0</v>
      </c>
      <c r="AB98" s="75">
        <f t="shared" si="149"/>
        <v>0</v>
      </c>
      <c r="AC98" s="75">
        <f t="shared" ref="AC98:BC98" si="150">IFERROR(MIN(1,MAX(0,(EOMONTH(AC$4,0)+1-$C98)/(EDATE($C98,$E98)-$C98)))*$F98/12+IF(AND(AC$4&gt;=EOMONTH($C98,0),AC$4&lt;=EOMONTH($C98,11)),$G98/12,0),0)</f>
        <v>0</v>
      </c>
      <c r="AD98" s="75">
        <f t="shared" si="150"/>
        <v>0</v>
      </c>
      <c r="AE98" s="75">
        <f t="shared" si="150"/>
        <v>0</v>
      </c>
      <c r="AF98" s="75">
        <f t="shared" si="150"/>
        <v>0</v>
      </c>
      <c r="AG98" s="75">
        <f t="shared" si="150"/>
        <v>0</v>
      </c>
      <c r="AH98" s="75">
        <f t="shared" si="150"/>
        <v>0</v>
      </c>
      <c r="AI98" s="75">
        <f t="shared" si="150"/>
        <v>0</v>
      </c>
      <c r="AJ98" s="75">
        <f t="shared" si="150"/>
        <v>0</v>
      </c>
      <c r="AK98" s="75">
        <f t="shared" si="150"/>
        <v>0</v>
      </c>
      <c r="AL98" s="75">
        <f t="shared" si="150"/>
        <v>0</v>
      </c>
      <c r="AM98" s="75">
        <f t="shared" si="150"/>
        <v>0</v>
      </c>
      <c r="AN98" s="75">
        <f t="shared" si="150"/>
        <v>0</v>
      </c>
      <c r="AO98" s="75">
        <f t="shared" si="150"/>
        <v>0</v>
      </c>
      <c r="AP98" s="75">
        <f t="shared" si="150"/>
        <v>0</v>
      </c>
      <c r="AQ98" s="75">
        <f t="shared" si="150"/>
        <v>0</v>
      </c>
      <c r="AR98" s="75">
        <f t="shared" si="150"/>
        <v>0</v>
      </c>
      <c r="AS98" s="75">
        <f t="shared" si="150"/>
        <v>0</v>
      </c>
      <c r="AT98" s="75">
        <f t="shared" si="150"/>
        <v>0</v>
      </c>
      <c r="AU98" s="75">
        <f t="shared" si="150"/>
        <v>0</v>
      </c>
      <c r="AV98" s="75">
        <f t="shared" si="150"/>
        <v>0</v>
      </c>
      <c r="AW98" s="75">
        <f t="shared" si="150"/>
        <v>0</v>
      </c>
      <c r="AX98" s="75">
        <f t="shared" si="150"/>
        <v>0</v>
      </c>
      <c r="AY98" s="75">
        <f t="shared" si="150"/>
        <v>0</v>
      </c>
      <c r="AZ98" s="75">
        <f t="shared" si="150"/>
        <v>0</v>
      </c>
      <c r="BA98" s="75">
        <f t="shared" si="150"/>
        <v>0</v>
      </c>
      <c r="BB98" s="75">
        <f t="shared" si="150"/>
        <v>0</v>
      </c>
      <c r="BC98" s="75">
        <f t="shared" si="150"/>
        <v>0</v>
      </c>
      <c r="BD98" s="61"/>
      <c r="BE98" s="75">
        <f t="shared" si="99"/>
        <v>0</v>
      </c>
      <c r="BF98" s="75">
        <f t="shared" si="100"/>
        <v>0</v>
      </c>
      <c r="BG98" s="75">
        <f t="shared" si="100"/>
        <v>0</v>
      </c>
      <c r="BH98" s="75">
        <f t="shared" si="100"/>
        <v>0</v>
      </c>
    </row>
    <row r="99" spans="2:60" ht="21" customHeight="1" x14ac:dyDescent="0.3">
      <c r="B99" s="60" t="str">
        <f>$B$34</f>
        <v>Other (staff release for training and implementation activity)</v>
      </c>
      <c r="C99" s="48">
        <f>IF(C$34="","",C$34)</f>
        <v>43922</v>
      </c>
      <c r="D99" s="48">
        <f>IF(D$34="","",D$34)</f>
        <v>44651</v>
      </c>
      <c r="E99" s="47">
        <f>IF(E$34="","",E$34)</f>
        <v>1</v>
      </c>
      <c r="F99" s="79"/>
      <c r="G99" s="75">
        <f>Other!C32*60</f>
        <v>0</v>
      </c>
      <c r="H99" s="75">
        <f>IFERROR(MIN(1,MAX(0,(EOMONTH(H$4,0)+1-$C99)/(EDATE($C99,$E99)-$C99)))*$F99/12+IF(AND(H$4&gt;=EOMONTH($C99,0),H$4&lt;=EOMONTH($C99,11)),$G99/12,0),0)</f>
        <v>0</v>
      </c>
      <c r="I99" s="75">
        <f t="shared" ref="I99:BC99" si="151">IFERROR(MIN(1,MAX(0,(EOMONTH(I$4,0)+1-$C99)/(EDATE($C99,$E99)-$C99)))*$F99/12+IF(AND(I$4&gt;=EOMONTH($C99,0),I$4&lt;=EOMONTH($C99,11)),$G99/12,0),0)</f>
        <v>0</v>
      </c>
      <c r="J99" s="75">
        <f t="shared" si="151"/>
        <v>0</v>
      </c>
      <c r="K99" s="75">
        <f t="shared" si="151"/>
        <v>0</v>
      </c>
      <c r="L99" s="75">
        <f t="shared" si="151"/>
        <v>0</v>
      </c>
      <c r="M99" s="75">
        <f t="shared" si="151"/>
        <v>0</v>
      </c>
      <c r="N99" s="75">
        <f t="shared" si="151"/>
        <v>0</v>
      </c>
      <c r="O99" s="75">
        <f t="shared" si="151"/>
        <v>0</v>
      </c>
      <c r="P99" s="75">
        <f t="shared" si="151"/>
        <v>0</v>
      </c>
      <c r="Q99" s="75">
        <f t="shared" si="151"/>
        <v>0</v>
      </c>
      <c r="R99" s="75">
        <f t="shared" si="151"/>
        <v>0</v>
      </c>
      <c r="S99" s="75">
        <f t="shared" si="151"/>
        <v>0</v>
      </c>
      <c r="T99" s="75">
        <f t="shared" si="151"/>
        <v>0</v>
      </c>
      <c r="U99" s="75">
        <f t="shared" si="151"/>
        <v>0</v>
      </c>
      <c r="V99" s="75">
        <f t="shared" si="151"/>
        <v>0</v>
      </c>
      <c r="W99" s="75">
        <f t="shared" si="151"/>
        <v>0</v>
      </c>
      <c r="X99" s="75">
        <f t="shared" si="151"/>
        <v>0</v>
      </c>
      <c r="Y99" s="75">
        <f t="shared" si="151"/>
        <v>0</v>
      </c>
      <c r="Z99" s="75">
        <f t="shared" si="151"/>
        <v>0</v>
      </c>
      <c r="AA99" s="75">
        <f t="shared" si="151"/>
        <v>0</v>
      </c>
      <c r="AB99" s="75">
        <f t="shared" si="151"/>
        <v>0</v>
      </c>
      <c r="AC99" s="75">
        <f t="shared" si="151"/>
        <v>0</v>
      </c>
      <c r="AD99" s="75">
        <f t="shared" si="151"/>
        <v>0</v>
      </c>
      <c r="AE99" s="75">
        <f t="shared" si="151"/>
        <v>0</v>
      </c>
      <c r="AF99" s="75">
        <f t="shared" si="151"/>
        <v>0</v>
      </c>
      <c r="AG99" s="75">
        <f t="shared" si="151"/>
        <v>0</v>
      </c>
      <c r="AH99" s="75">
        <f t="shared" si="151"/>
        <v>0</v>
      </c>
      <c r="AI99" s="75">
        <f t="shared" si="151"/>
        <v>0</v>
      </c>
      <c r="AJ99" s="75">
        <f t="shared" si="151"/>
        <v>0</v>
      </c>
      <c r="AK99" s="75">
        <f t="shared" si="151"/>
        <v>0</v>
      </c>
      <c r="AL99" s="75">
        <f t="shared" si="151"/>
        <v>0</v>
      </c>
      <c r="AM99" s="75">
        <f t="shared" si="151"/>
        <v>0</v>
      </c>
      <c r="AN99" s="75">
        <f t="shared" si="151"/>
        <v>0</v>
      </c>
      <c r="AO99" s="75">
        <f t="shared" si="151"/>
        <v>0</v>
      </c>
      <c r="AP99" s="75">
        <f t="shared" si="151"/>
        <v>0</v>
      </c>
      <c r="AQ99" s="75">
        <f t="shared" si="151"/>
        <v>0</v>
      </c>
      <c r="AR99" s="75">
        <f t="shared" si="151"/>
        <v>0</v>
      </c>
      <c r="AS99" s="75">
        <f t="shared" si="151"/>
        <v>0</v>
      </c>
      <c r="AT99" s="75">
        <f t="shared" si="151"/>
        <v>0</v>
      </c>
      <c r="AU99" s="75">
        <f t="shared" si="151"/>
        <v>0</v>
      </c>
      <c r="AV99" s="75">
        <f t="shared" si="151"/>
        <v>0</v>
      </c>
      <c r="AW99" s="75">
        <f t="shared" si="151"/>
        <v>0</v>
      </c>
      <c r="AX99" s="75">
        <f t="shared" si="151"/>
        <v>0</v>
      </c>
      <c r="AY99" s="75">
        <f t="shared" si="151"/>
        <v>0</v>
      </c>
      <c r="AZ99" s="75">
        <f t="shared" si="151"/>
        <v>0</v>
      </c>
      <c r="BA99" s="75">
        <f t="shared" si="151"/>
        <v>0</v>
      </c>
      <c r="BB99" s="75">
        <f t="shared" si="151"/>
        <v>0</v>
      </c>
      <c r="BC99" s="75">
        <f t="shared" si="151"/>
        <v>0</v>
      </c>
      <c r="BD99" s="61"/>
      <c r="BE99" s="75">
        <f t="shared" si="99"/>
        <v>0</v>
      </c>
      <c r="BF99" s="75">
        <f t="shared" si="100"/>
        <v>0</v>
      </c>
      <c r="BG99" s="75">
        <f t="shared" si="100"/>
        <v>0</v>
      </c>
      <c r="BH99" s="75">
        <f t="shared" si="100"/>
        <v>0</v>
      </c>
    </row>
    <row r="100" spans="2:60" ht="21" customHeight="1" x14ac:dyDescent="0.3">
      <c r="B100" s="49"/>
      <c r="C100" s="49"/>
      <c r="D100" s="49"/>
      <c r="E100" s="49"/>
    </row>
    <row r="101" spans="2:60" ht="20.399999999999999" customHeight="1" x14ac:dyDescent="0.3">
      <c r="B101" s="60" t="s">
        <v>181</v>
      </c>
      <c r="C101" s="48">
        <f>IF($C79="","",$C79)</f>
        <v>43922</v>
      </c>
      <c r="D101" s="48"/>
      <c r="E101" s="47">
        <f>IF(E79="","",E79)</f>
        <v>1</v>
      </c>
      <c r="F101" s="19">
        <f>SUM(F84:F99)</f>
        <v>0</v>
      </c>
      <c r="H101" s="19">
        <f t="shared" ref="H101:BC101" si="152">SUM(H84:H99)</f>
        <v>0</v>
      </c>
      <c r="I101" s="19">
        <f t="shared" si="152"/>
        <v>0</v>
      </c>
      <c r="J101" s="19">
        <f t="shared" si="152"/>
        <v>0</v>
      </c>
      <c r="K101" s="19">
        <f t="shared" si="152"/>
        <v>0</v>
      </c>
      <c r="L101" s="19">
        <f t="shared" si="152"/>
        <v>0</v>
      </c>
      <c r="M101" s="19">
        <f t="shared" si="152"/>
        <v>0</v>
      </c>
      <c r="N101" s="19">
        <f t="shared" si="152"/>
        <v>0</v>
      </c>
      <c r="O101" s="19">
        <f t="shared" si="152"/>
        <v>0</v>
      </c>
      <c r="P101" s="19">
        <f t="shared" si="152"/>
        <v>0</v>
      </c>
      <c r="Q101" s="19">
        <f t="shared" si="152"/>
        <v>0</v>
      </c>
      <c r="R101" s="19">
        <f t="shared" si="152"/>
        <v>0</v>
      </c>
      <c r="S101" s="19">
        <f t="shared" si="152"/>
        <v>0</v>
      </c>
      <c r="T101" s="19">
        <f t="shared" si="152"/>
        <v>0</v>
      </c>
      <c r="U101" s="19">
        <f t="shared" si="152"/>
        <v>0</v>
      </c>
      <c r="V101" s="19">
        <f t="shared" si="152"/>
        <v>0</v>
      </c>
      <c r="W101" s="19">
        <f t="shared" si="152"/>
        <v>0</v>
      </c>
      <c r="X101" s="19">
        <f t="shared" si="152"/>
        <v>0</v>
      </c>
      <c r="Y101" s="19">
        <f t="shared" si="152"/>
        <v>0</v>
      </c>
      <c r="Z101" s="19">
        <f t="shared" si="152"/>
        <v>0</v>
      </c>
      <c r="AA101" s="19">
        <f t="shared" si="152"/>
        <v>0</v>
      </c>
      <c r="AB101" s="19">
        <f t="shared" si="152"/>
        <v>0</v>
      </c>
      <c r="AC101" s="19">
        <f t="shared" si="152"/>
        <v>0</v>
      </c>
      <c r="AD101" s="19">
        <f t="shared" si="152"/>
        <v>0</v>
      </c>
      <c r="AE101" s="19">
        <f t="shared" si="152"/>
        <v>0</v>
      </c>
      <c r="AF101" s="19">
        <f t="shared" si="152"/>
        <v>0</v>
      </c>
      <c r="AG101" s="19">
        <f t="shared" si="152"/>
        <v>0</v>
      </c>
      <c r="AH101" s="19">
        <f t="shared" si="152"/>
        <v>0</v>
      </c>
      <c r="AI101" s="19">
        <f t="shared" si="152"/>
        <v>0</v>
      </c>
      <c r="AJ101" s="19">
        <f t="shared" si="152"/>
        <v>0</v>
      </c>
      <c r="AK101" s="19">
        <f t="shared" si="152"/>
        <v>0</v>
      </c>
      <c r="AL101" s="19">
        <f t="shared" si="152"/>
        <v>0</v>
      </c>
      <c r="AM101" s="19">
        <f t="shared" si="152"/>
        <v>0</v>
      </c>
      <c r="AN101" s="19">
        <f t="shared" si="152"/>
        <v>0</v>
      </c>
      <c r="AO101" s="19">
        <f t="shared" si="152"/>
        <v>0</v>
      </c>
      <c r="AP101" s="19">
        <f t="shared" si="152"/>
        <v>0</v>
      </c>
      <c r="AQ101" s="19">
        <f t="shared" si="152"/>
        <v>0</v>
      </c>
      <c r="AR101" s="19">
        <f t="shared" si="152"/>
        <v>0</v>
      </c>
      <c r="AS101" s="19">
        <f t="shared" si="152"/>
        <v>0</v>
      </c>
      <c r="AT101" s="19">
        <f t="shared" si="152"/>
        <v>0</v>
      </c>
      <c r="AU101" s="19">
        <f t="shared" si="152"/>
        <v>0</v>
      </c>
      <c r="AV101" s="19">
        <f t="shared" si="152"/>
        <v>0</v>
      </c>
      <c r="AW101" s="19">
        <f t="shared" si="152"/>
        <v>0</v>
      </c>
      <c r="AX101" s="19">
        <f t="shared" si="152"/>
        <v>0</v>
      </c>
      <c r="AY101" s="19">
        <f t="shared" si="152"/>
        <v>0</v>
      </c>
      <c r="AZ101" s="19">
        <f t="shared" si="152"/>
        <v>0</v>
      </c>
      <c r="BA101" s="19">
        <f t="shared" si="152"/>
        <v>0</v>
      </c>
      <c r="BB101" s="19">
        <f t="shared" si="152"/>
        <v>0</v>
      </c>
      <c r="BC101" s="19">
        <f t="shared" si="152"/>
        <v>0</v>
      </c>
      <c r="BD101" s="61"/>
      <c r="BE101" s="79">
        <f>SUMIF($H$3:$BD$3,BE$3,$H101:$BD101)</f>
        <v>0</v>
      </c>
      <c r="BF101" s="79">
        <f t="shared" ref="BF101:BH101" si="153">SUMIF($H$3:$BD$3,BF$3,$H101:$BD101)</f>
        <v>0</v>
      </c>
      <c r="BG101" s="79">
        <f t="shared" si="153"/>
        <v>0</v>
      </c>
      <c r="BH101" s="79">
        <f t="shared" si="153"/>
        <v>0</v>
      </c>
    </row>
    <row r="102" spans="2:60" ht="21" customHeight="1" x14ac:dyDescent="0.3">
      <c r="B102" s="49"/>
      <c r="C102" s="49"/>
      <c r="D102" s="49"/>
      <c r="E102" s="49"/>
    </row>
    <row r="103" spans="2:60" ht="21" customHeight="1" x14ac:dyDescent="0.3">
      <c r="B103" s="58" t="s">
        <v>74</v>
      </c>
      <c r="C103" s="53" t="s">
        <v>37</v>
      </c>
      <c r="D103" s="53" t="s">
        <v>115</v>
      </c>
      <c r="E103" s="53" t="s">
        <v>38</v>
      </c>
      <c r="F103" s="53" t="s">
        <v>19</v>
      </c>
      <c r="G103" s="53" t="s">
        <v>215</v>
      </c>
      <c r="H103" s="59">
        <f>H$4</f>
        <v>43585</v>
      </c>
      <c r="I103" s="59">
        <f t="shared" ref="I103:BC103" si="154">I$4</f>
        <v>43616</v>
      </c>
      <c r="J103" s="59">
        <f t="shared" si="154"/>
        <v>43646</v>
      </c>
      <c r="K103" s="59">
        <f t="shared" si="154"/>
        <v>43677</v>
      </c>
      <c r="L103" s="59">
        <f t="shared" si="154"/>
        <v>43708</v>
      </c>
      <c r="M103" s="59">
        <f t="shared" si="154"/>
        <v>43738</v>
      </c>
      <c r="N103" s="59">
        <f t="shared" si="154"/>
        <v>43769</v>
      </c>
      <c r="O103" s="59">
        <f t="shared" si="154"/>
        <v>43799</v>
      </c>
      <c r="P103" s="59">
        <f t="shared" si="154"/>
        <v>43830</v>
      </c>
      <c r="Q103" s="59">
        <f t="shared" si="154"/>
        <v>43861</v>
      </c>
      <c r="R103" s="59">
        <f t="shared" si="154"/>
        <v>43890</v>
      </c>
      <c r="S103" s="59">
        <f t="shared" si="154"/>
        <v>43921</v>
      </c>
      <c r="T103" s="59">
        <f t="shared" si="154"/>
        <v>43951</v>
      </c>
      <c r="U103" s="59">
        <f t="shared" si="154"/>
        <v>43982</v>
      </c>
      <c r="V103" s="59">
        <f t="shared" si="154"/>
        <v>44012</v>
      </c>
      <c r="W103" s="59">
        <f t="shared" si="154"/>
        <v>44043</v>
      </c>
      <c r="X103" s="59">
        <f t="shared" si="154"/>
        <v>44074</v>
      </c>
      <c r="Y103" s="59">
        <f t="shared" si="154"/>
        <v>44104</v>
      </c>
      <c r="Z103" s="59">
        <f t="shared" si="154"/>
        <v>44135</v>
      </c>
      <c r="AA103" s="59">
        <f t="shared" si="154"/>
        <v>44165</v>
      </c>
      <c r="AB103" s="59">
        <f t="shared" si="154"/>
        <v>44196</v>
      </c>
      <c r="AC103" s="59">
        <f t="shared" si="154"/>
        <v>44227</v>
      </c>
      <c r="AD103" s="59">
        <f t="shared" si="154"/>
        <v>44255</v>
      </c>
      <c r="AE103" s="59">
        <f t="shared" si="154"/>
        <v>44286</v>
      </c>
      <c r="AF103" s="59">
        <f t="shared" si="154"/>
        <v>44316</v>
      </c>
      <c r="AG103" s="59">
        <f t="shared" si="154"/>
        <v>44347</v>
      </c>
      <c r="AH103" s="59">
        <f t="shared" si="154"/>
        <v>44377</v>
      </c>
      <c r="AI103" s="59">
        <f t="shared" si="154"/>
        <v>44408</v>
      </c>
      <c r="AJ103" s="59">
        <f t="shared" si="154"/>
        <v>44439</v>
      </c>
      <c r="AK103" s="59">
        <f t="shared" si="154"/>
        <v>44469</v>
      </c>
      <c r="AL103" s="59">
        <f t="shared" si="154"/>
        <v>44500</v>
      </c>
      <c r="AM103" s="59">
        <f t="shared" si="154"/>
        <v>44530</v>
      </c>
      <c r="AN103" s="59">
        <f t="shared" si="154"/>
        <v>44561</v>
      </c>
      <c r="AO103" s="59">
        <f t="shared" si="154"/>
        <v>44592</v>
      </c>
      <c r="AP103" s="59">
        <f t="shared" si="154"/>
        <v>44620</v>
      </c>
      <c r="AQ103" s="59">
        <f t="shared" si="154"/>
        <v>44651</v>
      </c>
      <c r="AR103" s="59">
        <f t="shared" si="154"/>
        <v>44681</v>
      </c>
      <c r="AS103" s="59">
        <f t="shared" si="154"/>
        <v>44712</v>
      </c>
      <c r="AT103" s="59">
        <f t="shared" si="154"/>
        <v>44742</v>
      </c>
      <c r="AU103" s="59">
        <f t="shared" si="154"/>
        <v>44773</v>
      </c>
      <c r="AV103" s="59">
        <f t="shared" si="154"/>
        <v>44804</v>
      </c>
      <c r="AW103" s="59">
        <f t="shared" si="154"/>
        <v>44834</v>
      </c>
      <c r="AX103" s="59">
        <f t="shared" si="154"/>
        <v>44865</v>
      </c>
      <c r="AY103" s="59">
        <f t="shared" si="154"/>
        <v>44895</v>
      </c>
      <c r="AZ103" s="59">
        <f t="shared" si="154"/>
        <v>44926</v>
      </c>
      <c r="BA103" s="59">
        <f t="shared" si="154"/>
        <v>44957</v>
      </c>
      <c r="BB103" s="59">
        <f t="shared" si="154"/>
        <v>44985</v>
      </c>
      <c r="BC103" s="59">
        <f t="shared" si="154"/>
        <v>45016</v>
      </c>
      <c r="BE103" s="71">
        <f>BE$3</f>
        <v>1</v>
      </c>
      <c r="BF103" s="71">
        <f>BF$3</f>
        <v>2</v>
      </c>
      <c r="BG103" s="71">
        <f>BG$3</f>
        <v>3</v>
      </c>
      <c r="BH103" s="71">
        <f>BH$3</f>
        <v>4</v>
      </c>
    </row>
    <row r="104" spans="2:60" ht="21" customHeight="1" x14ac:dyDescent="0.3">
      <c r="B104" s="60" t="str">
        <f>$B$19</f>
        <v>Covid-19 Disruption - first period</v>
      </c>
      <c r="C104" s="48">
        <f>IF(C$19="","",C$19)</f>
        <v>43891</v>
      </c>
      <c r="D104" s="48">
        <f>IF(D$19="","",D$19)</f>
        <v>43982</v>
      </c>
      <c r="E104" s="47">
        <f>IF(E$19="","",E$19)</f>
        <v>1</v>
      </c>
      <c r="F104" s="79" t="str">
        <f>IF(OR('Covid 19'!$C$3="No",'Covid 19'!$C$4="No"),"",'Covid 19'!G59*12)</f>
        <v/>
      </c>
      <c r="G104" s="75"/>
      <c r="H104" s="79">
        <f t="shared" ref="H104:BC105" si="155">IF(H$4&gt;$D104,0,IFERROR(MIN(1,MAX(0,(EOMONTH(H$4,0)+1-$C104)/(EDATE($C104,$E104)-$C104)))*$F104/12+IF(H$3=1,$G104/12,0),0))</f>
        <v>0</v>
      </c>
      <c r="I104" s="79">
        <f t="shared" si="155"/>
        <v>0</v>
      </c>
      <c r="J104" s="79">
        <f t="shared" si="155"/>
        <v>0</v>
      </c>
      <c r="K104" s="79">
        <f t="shared" si="155"/>
        <v>0</v>
      </c>
      <c r="L104" s="79">
        <f t="shared" si="155"/>
        <v>0</v>
      </c>
      <c r="M104" s="79">
        <f t="shared" si="155"/>
        <v>0</v>
      </c>
      <c r="N104" s="79">
        <f t="shared" si="155"/>
        <v>0</v>
      </c>
      <c r="O104" s="79">
        <f t="shared" si="155"/>
        <v>0</v>
      </c>
      <c r="P104" s="79">
        <f t="shared" si="155"/>
        <v>0</v>
      </c>
      <c r="Q104" s="79">
        <f t="shared" si="155"/>
        <v>0</v>
      </c>
      <c r="R104" s="79">
        <f t="shared" si="155"/>
        <v>0</v>
      </c>
      <c r="S104" s="79">
        <f t="shared" si="155"/>
        <v>0</v>
      </c>
      <c r="T104" s="79">
        <f t="shared" si="155"/>
        <v>0</v>
      </c>
      <c r="U104" s="79">
        <f t="shared" si="155"/>
        <v>0</v>
      </c>
      <c r="V104" s="79">
        <f t="shared" si="155"/>
        <v>0</v>
      </c>
      <c r="W104" s="79">
        <f t="shared" si="155"/>
        <v>0</v>
      </c>
      <c r="X104" s="79">
        <f t="shared" si="155"/>
        <v>0</v>
      </c>
      <c r="Y104" s="79">
        <f t="shared" si="155"/>
        <v>0</v>
      </c>
      <c r="Z104" s="79">
        <f t="shared" si="155"/>
        <v>0</v>
      </c>
      <c r="AA104" s="79">
        <f t="shared" si="155"/>
        <v>0</v>
      </c>
      <c r="AB104" s="79">
        <f t="shared" si="155"/>
        <v>0</v>
      </c>
      <c r="AC104" s="79">
        <f t="shared" si="155"/>
        <v>0</v>
      </c>
      <c r="AD104" s="79">
        <f t="shared" si="155"/>
        <v>0</v>
      </c>
      <c r="AE104" s="79">
        <f t="shared" si="155"/>
        <v>0</v>
      </c>
      <c r="AF104" s="79">
        <f t="shared" si="155"/>
        <v>0</v>
      </c>
      <c r="AG104" s="79">
        <f t="shared" si="155"/>
        <v>0</v>
      </c>
      <c r="AH104" s="79">
        <f t="shared" si="155"/>
        <v>0</v>
      </c>
      <c r="AI104" s="79">
        <f t="shared" si="155"/>
        <v>0</v>
      </c>
      <c r="AJ104" s="79">
        <f t="shared" si="155"/>
        <v>0</v>
      </c>
      <c r="AK104" s="79">
        <f t="shared" si="155"/>
        <v>0</v>
      </c>
      <c r="AL104" s="79">
        <f t="shared" si="155"/>
        <v>0</v>
      </c>
      <c r="AM104" s="79">
        <f t="shared" si="155"/>
        <v>0</v>
      </c>
      <c r="AN104" s="79">
        <f t="shared" si="155"/>
        <v>0</v>
      </c>
      <c r="AO104" s="79">
        <f t="shared" si="155"/>
        <v>0</v>
      </c>
      <c r="AP104" s="79">
        <f t="shared" si="155"/>
        <v>0</v>
      </c>
      <c r="AQ104" s="79">
        <f t="shared" si="155"/>
        <v>0</v>
      </c>
      <c r="AR104" s="79">
        <f t="shared" si="155"/>
        <v>0</v>
      </c>
      <c r="AS104" s="79">
        <f t="shared" si="155"/>
        <v>0</v>
      </c>
      <c r="AT104" s="79">
        <f t="shared" si="155"/>
        <v>0</v>
      </c>
      <c r="AU104" s="79">
        <f t="shared" si="155"/>
        <v>0</v>
      </c>
      <c r="AV104" s="79">
        <f t="shared" si="155"/>
        <v>0</v>
      </c>
      <c r="AW104" s="79">
        <f t="shared" si="155"/>
        <v>0</v>
      </c>
      <c r="AX104" s="79">
        <f t="shared" si="155"/>
        <v>0</v>
      </c>
      <c r="AY104" s="79">
        <f t="shared" si="155"/>
        <v>0</v>
      </c>
      <c r="AZ104" s="79">
        <f t="shared" si="155"/>
        <v>0</v>
      </c>
      <c r="BA104" s="79">
        <f t="shared" si="155"/>
        <v>0</v>
      </c>
      <c r="BB104" s="79">
        <f t="shared" si="155"/>
        <v>0</v>
      </c>
      <c r="BC104" s="79">
        <f t="shared" si="155"/>
        <v>0</v>
      </c>
      <c r="BE104" s="79">
        <f t="shared" ref="BE104:BH106" si="156">SUMIF($H$3:$BD$3,BE$3,$H104:$BD104)</f>
        <v>0</v>
      </c>
      <c r="BF104" s="79">
        <f t="shared" ref="BF104:BH119" si="157">SUMIF($H$3:$BD$3,BF$3,$H104:$BD104)</f>
        <v>0</v>
      </c>
      <c r="BG104" s="79">
        <f t="shared" si="157"/>
        <v>0</v>
      </c>
      <c r="BH104" s="79">
        <f t="shared" si="157"/>
        <v>0</v>
      </c>
    </row>
    <row r="105" spans="2:60" ht="21" customHeight="1" x14ac:dyDescent="0.3">
      <c r="B105" s="60" t="str">
        <f>$B$20</f>
        <v>Covid-19 Disruption - second period</v>
      </c>
      <c r="C105" s="48">
        <f>IF(C$20="","",C$20)</f>
        <v>43983</v>
      </c>
      <c r="D105" s="48">
        <f>IF(D$20="","",D$20)</f>
        <v>44165</v>
      </c>
      <c r="E105" s="47">
        <f>IF(E$20="","",E$20)</f>
        <v>1</v>
      </c>
      <c r="F105" s="79" t="str">
        <f>IF(OR('Covid 19'!$C$3="No",'Covid 19'!$C$4="No"),"",'Covid 19'!H59*12)</f>
        <v/>
      </c>
      <c r="G105" s="75"/>
      <c r="H105" s="79">
        <f t="shared" si="155"/>
        <v>0</v>
      </c>
      <c r="I105" s="79">
        <f t="shared" si="155"/>
        <v>0</v>
      </c>
      <c r="J105" s="79">
        <f t="shared" si="155"/>
        <v>0</v>
      </c>
      <c r="K105" s="79">
        <f t="shared" si="155"/>
        <v>0</v>
      </c>
      <c r="L105" s="79">
        <f t="shared" si="155"/>
        <v>0</v>
      </c>
      <c r="M105" s="79">
        <f t="shared" si="155"/>
        <v>0</v>
      </c>
      <c r="N105" s="79">
        <f t="shared" si="155"/>
        <v>0</v>
      </c>
      <c r="O105" s="79">
        <f t="shared" si="155"/>
        <v>0</v>
      </c>
      <c r="P105" s="79">
        <f t="shared" si="155"/>
        <v>0</v>
      </c>
      <c r="Q105" s="79">
        <f t="shared" si="155"/>
        <v>0</v>
      </c>
      <c r="R105" s="79">
        <f t="shared" si="155"/>
        <v>0</v>
      </c>
      <c r="S105" s="79">
        <f t="shared" si="155"/>
        <v>0</v>
      </c>
      <c r="T105" s="79">
        <f t="shared" si="155"/>
        <v>0</v>
      </c>
      <c r="U105" s="79">
        <f t="shared" si="155"/>
        <v>0</v>
      </c>
      <c r="V105" s="79">
        <f t="shared" si="155"/>
        <v>0</v>
      </c>
      <c r="W105" s="79">
        <f t="shared" si="155"/>
        <v>0</v>
      </c>
      <c r="X105" s="79">
        <f t="shared" si="155"/>
        <v>0</v>
      </c>
      <c r="Y105" s="79">
        <f t="shared" si="155"/>
        <v>0</v>
      </c>
      <c r="Z105" s="79">
        <f t="shared" si="155"/>
        <v>0</v>
      </c>
      <c r="AA105" s="79">
        <f t="shared" si="155"/>
        <v>0</v>
      </c>
      <c r="AB105" s="79">
        <f t="shared" si="155"/>
        <v>0</v>
      </c>
      <c r="AC105" s="79">
        <f t="shared" si="155"/>
        <v>0</v>
      </c>
      <c r="AD105" s="79">
        <f t="shared" si="155"/>
        <v>0</v>
      </c>
      <c r="AE105" s="79">
        <f t="shared" si="155"/>
        <v>0</v>
      </c>
      <c r="AF105" s="79">
        <f t="shared" si="155"/>
        <v>0</v>
      </c>
      <c r="AG105" s="79">
        <f t="shared" si="155"/>
        <v>0</v>
      </c>
      <c r="AH105" s="79">
        <f t="shared" si="155"/>
        <v>0</v>
      </c>
      <c r="AI105" s="79">
        <f t="shared" si="155"/>
        <v>0</v>
      </c>
      <c r="AJ105" s="79">
        <f t="shared" si="155"/>
        <v>0</v>
      </c>
      <c r="AK105" s="79">
        <f t="shared" si="155"/>
        <v>0</v>
      </c>
      <c r="AL105" s="79">
        <f t="shared" si="155"/>
        <v>0</v>
      </c>
      <c r="AM105" s="79">
        <f t="shared" si="155"/>
        <v>0</v>
      </c>
      <c r="AN105" s="79">
        <f t="shared" si="155"/>
        <v>0</v>
      </c>
      <c r="AO105" s="79">
        <f t="shared" si="155"/>
        <v>0</v>
      </c>
      <c r="AP105" s="79">
        <f t="shared" si="155"/>
        <v>0</v>
      </c>
      <c r="AQ105" s="79">
        <f t="shared" si="155"/>
        <v>0</v>
      </c>
      <c r="AR105" s="79">
        <f t="shared" si="155"/>
        <v>0</v>
      </c>
      <c r="AS105" s="79">
        <f t="shared" si="155"/>
        <v>0</v>
      </c>
      <c r="AT105" s="79">
        <f t="shared" si="155"/>
        <v>0</v>
      </c>
      <c r="AU105" s="79">
        <f t="shared" si="155"/>
        <v>0</v>
      </c>
      <c r="AV105" s="79">
        <f t="shared" si="155"/>
        <v>0</v>
      </c>
      <c r="AW105" s="79">
        <f t="shared" si="155"/>
        <v>0</v>
      </c>
      <c r="AX105" s="79">
        <f t="shared" si="155"/>
        <v>0</v>
      </c>
      <c r="AY105" s="79">
        <f t="shared" si="155"/>
        <v>0</v>
      </c>
      <c r="AZ105" s="79">
        <f t="shared" si="155"/>
        <v>0</v>
      </c>
      <c r="BA105" s="79">
        <f t="shared" si="155"/>
        <v>0</v>
      </c>
      <c r="BB105" s="79">
        <f t="shared" si="155"/>
        <v>0</v>
      </c>
      <c r="BC105" s="79">
        <f t="shared" si="155"/>
        <v>0</v>
      </c>
      <c r="BE105" s="79">
        <f t="shared" si="156"/>
        <v>0</v>
      </c>
      <c r="BF105" s="79">
        <f t="shared" si="157"/>
        <v>0</v>
      </c>
      <c r="BG105" s="79">
        <f t="shared" si="157"/>
        <v>0</v>
      </c>
      <c r="BH105" s="79">
        <f t="shared" si="157"/>
        <v>0</v>
      </c>
    </row>
    <row r="106" spans="2:60" ht="21" customHeight="1" x14ac:dyDescent="0.3">
      <c r="B106" s="160" t="s">
        <v>394</v>
      </c>
      <c r="C106" s="48"/>
      <c r="D106" s="48"/>
      <c r="E106" s="47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E106" s="75">
        <f t="shared" si="156"/>
        <v>0</v>
      </c>
      <c r="BF106" s="75">
        <f t="shared" si="156"/>
        <v>0</v>
      </c>
      <c r="BG106" s="75">
        <f t="shared" si="156"/>
        <v>0</v>
      </c>
      <c r="BH106" s="75">
        <f t="shared" si="156"/>
        <v>0</v>
      </c>
    </row>
    <row r="107" spans="2:60" ht="21" customHeight="1" x14ac:dyDescent="0.3">
      <c r="B107" s="160" t="str">
        <f>$B$22</f>
        <v>Covid-19 Wage subsidy</v>
      </c>
      <c r="C107" s="48"/>
      <c r="D107" s="48"/>
      <c r="E107" s="47"/>
      <c r="F107" s="79"/>
      <c r="G107" s="75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E107" s="79"/>
      <c r="BF107" s="79"/>
      <c r="BG107" s="79"/>
      <c r="BH107" s="79"/>
    </row>
    <row r="108" spans="2:60" ht="21" customHeight="1" x14ac:dyDescent="0.3">
      <c r="B108" s="60" t="str">
        <f>$B$23</f>
        <v>Call Management</v>
      </c>
      <c r="C108" s="48">
        <f>IF(C$23="","",C$23)</f>
        <v>43922</v>
      </c>
      <c r="D108" s="48" t="str">
        <f>IF(D$23="","",D$23)</f>
        <v/>
      </c>
      <c r="E108" s="47">
        <f>IF(E$23="","",E$23)</f>
        <v>1</v>
      </c>
      <c r="F108" s="79"/>
      <c r="G108" s="75"/>
      <c r="H108" s="75">
        <f>IFERROR(MIN(1,MAX(0,(EOMONTH(H$4,0)+1-$C108)/(EDATE($C108,$E108)-$C108)))*$F108/12+IF(AND(H$4&gt;=EOMONTH($C108,0),H$4&lt;=EOMONTH($C108,11)),$G108/12,0),0)</f>
        <v>0</v>
      </c>
      <c r="I108" s="75">
        <f t="shared" ref="I108:BC109" si="158">IFERROR(MIN(1,MAX(0,(EOMONTH(I$4,0)+1-$C108)/(EDATE($C108,$E108)-$C108)))*$F108/12+IF(AND(I$4&gt;=EOMONTH($C108,0),I$4&lt;=EOMONTH($C108,11)),$G108/12,0),0)</f>
        <v>0</v>
      </c>
      <c r="J108" s="75">
        <f t="shared" si="158"/>
        <v>0</v>
      </c>
      <c r="K108" s="75">
        <f t="shared" si="158"/>
        <v>0</v>
      </c>
      <c r="L108" s="75">
        <f t="shared" si="158"/>
        <v>0</v>
      </c>
      <c r="M108" s="75">
        <f t="shared" si="158"/>
        <v>0</v>
      </c>
      <c r="N108" s="75">
        <f t="shared" si="158"/>
        <v>0</v>
      </c>
      <c r="O108" s="75">
        <f t="shared" si="158"/>
        <v>0</v>
      </c>
      <c r="P108" s="75">
        <f t="shared" si="158"/>
        <v>0</v>
      </c>
      <c r="Q108" s="75">
        <f t="shared" si="158"/>
        <v>0</v>
      </c>
      <c r="R108" s="75">
        <f t="shared" si="158"/>
        <v>0</v>
      </c>
      <c r="S108" s="75">
        <f t="shared" si="158"/>
        <v>0</v>
      </c>
      <c r="T108" s="75">
        <f t="shared" si="158"/>
        <v>0</v>
      </c>
      <c r="U108" s="75">
        <f t="shared" si="158"/>
        <v>0</v>
      </c>
      <c r="V108" s="75">
        <f t="shared" si="158"/>
        <v>0</v>
      </c>
      <c r="W108" s="75">
        <f t="shared" si="158"/>
        <v>0</v>
      </c>
      <c r="X108" s="75">
        <f t="shared" si="158"/>
        <v>0</v>
      </c>
      <c r="Y108" s="75">
        <f t="shared" si="158"/>
        <v>0</v>
      </c>
      <c r="Z108" s="75">
        <f t="shared" si="158"/>
        <v>0</v>
      </c>
      <c r="AA108" s="75">
        <f t="shared" si="158"/>
        <v>0</v>
      </c>
      <c r="AB108" s="75">
        <f t="shared" si="158"/>
        <v>0</v>
      </c>
      <c r="AC108" s="75">
        <f t="shared" si="158"/>
        <v>0</v>
      </c>
      <c r="AD108" s="75">
        <f t="shared" si="158"/>
        <v>0</v>
      </c>
      <c r="AE108" s="75">
        <f t="shared" si="158"/>
        <v>0</v>
      </c>
      <c r="AF108" s="75">
        <f t="shared" si="158"/>
        <v>0</v>
      </c>
      <c r="AG108" s="75">
        <f t="shared" si="158"/>
        <v>0</v>
      </c>
      <c r="AH108" s="75">
        <f t="shared" si="158"/>
        <v>0</v>
      </c>
      <c r="AI108" s="75">
        <f t="shared" si="158"/>
        <v>0</v>
      </c>
      <c r="AJ108" s="75">
        <f t="shared" si="158"/>
        <v>0</v>
      </c>
      <c r="AK108" s="75">
        <f t="shared" si="158"/>
        <v>0</v>
      </c>
      <c r="AL108" s="75">
        <f t="shared" si="158"/>
        <v>0</v>
      </c>
      <c r="AM108" s="75">
        <f t="shared" si="158"/>
        <v>0</v>
      </c>
      <c r="AN108" s="75">
        <f t="shared" si="158"/>
        <v>0</v>
      </c>
      <c r="AO108" s="75">
        <f t="shared" si="158"/>
        <v>0</v>
      </c>
      <c r="AP108" s="75">
        <f t="shared" si="158"/>
        <v>0</v>
      </c>
      <c r="AQ108" s="75">
        <f t="shared" si="158"/>
        <v>0</v>
      </c>
      <c r="AR108" s="75">
        <f t="shared" si="158"/>
        <v>0</v>
      </c>
      <c r="AS108" s="75">
        <f t="shared" si="158"/>
        <v>0</v>
      </c>
      <c r="AT108" s="75">
        <f t="shared" si="158"/>
        <v>0</v>
      </c>
      <c r="AU108" s="75">
        <f t="shared" si="158"/>
        <v>0</v>
      </c>
      <c r="AV108" s="75">
        <f t="shared" si="158"/>
        <v>0</v>
      </c>
      <c r="AW108" s="75">
        <f t="shared" si="158"/>
        <v>0</v>
      </c>
      <c r="AX108" s="75">
        <f t="shared" si="158"/>
        <v>0</v>
      </c>
      <c r="AY108" s="75">
        <f t="shared" si="158"/>
        <v>0</v>
      </c>
      <c r="AZ108" s="75">
        <f t="shared" si="158"/>
        <v>0</v>
      </c>
      <c r="BA108" s="75">
        <f t="shared" si="158"/>
        <v>0</v>
      </c>
      <c r="BB108" s="75">
        <f t="shared" si="158"/>
        <v>0</v>
      </c>
      <c r="BC108" s="75">
        <f t="shared" si="158"/>
        <v>0</v>
      </c>
      <c r="BE108" s="79">
        <f t="shared" ref="BE108:BE119" si="159">SUMIF($H$3:$BD$3,BE$3,$H108:$BD108)</f>
        <v>0</v>
      </c>
      <c r="BF108" s="79">
        <f t="shared" si="157"/>
        <v>0</v>
      </c>
      <c r="BG108" s="79">
        <f t="shared" si="157"/>
        <v>0</v>
      </c>
      <c r="BH108" s="79">
        <f t="shared" si="157"/>
        <v>0</v>
      </c>
    </row>
    <row r="109" spans="2:60" ht="21" customHeight="1" x14ac:dyDescent="0.3">
      <c r="B109" s="60" t="str">
        <f>$B$24</f>
        <v>GP triage</v>
      </c>
      <c r="C109" s="48">
        <f>IF(C$24="","",C$24)</f>
        <v>43922</v>
      </c>
      <c r="D109" s="48" t="str">
        <f>IF(D$24="","",D$24)</f>
        <v/>
      </c>
      <c r="E109" s="47">
        <f>IF(E24="","",E24)</f>
        <v>3</v>
      </c>
      <c r="F109" s="79">
        <f>'GP Triage'!G65</f>
        <v>8190</v>
      </c>
      <c r="G109" s="75"/>
      <c r="H109" s="75">
        <f>IFERROR(MIN(1,MAX(0,(EOMONTH(H$4,0)+1-$C109)/(EDATE($C109,$E109)-$C109)))*$F109/12+IF(AND(H$4&gt;=EOMONTH($C109,0),H$4&lt;=EOMONTH($C109,11)),$G109/12,0),0)</f>
        <v>0</v>
      </c>
      <c r="I109" s="75">
        <f t="shared" si="158"/>
        <v>0</v>
      </c>
      <c r="J109" s="75">
        <f t="shared" si="158"/>
        <v>0</v>
      </c>
      <c r="K109" s="75">
        <f t="shared" si="158"/>
        <v>0</v>
      </c>
      <c r="L109" s="75">
        <f t="shared" si="158"/>
        <v>0</v>
      </c>
      <c r="M109" s="75">
        <f t="shared" si="158"/>
        <v>0</v>
      </c>
      <c r="N109" s="75">
        <f t="shared" si="158"/>
        <v>0</v>
      </c>
      <c r="O109" s="75">
        <f t="shared" si="158"/>
        <v>0</v>
      </c>
      <c r="P109" s="75">
        <f t="shared" si="158"/>
        <v>0</v>
      </c>
      <c r="Q109" s="75">
        <f t="shared" si="158"/>
        <v>0</v>
      </c>
      <c r="R109" s="75">
        <f t="shared" si="158"/>
        <v>0</v>
      </c>
      <c r="S109" s="75">
        <f t="shared" si="158"/>
        <v>0</v>
      </c>
      <c r="T109" s="75">
        <f t="shared" si="158"/>
        <v>225</v>
      </c>
      <c r="U109" s="75">
        <f t="shared" si="158"/>
        <v>457.5</v>
      </c>
      <c r="V109" s="75">
        <f t="shared" si="158"/>
        <v>682.5</v>
      </c>
      <c r="W109" s="75">
        <f t="shared" si="158"/>
        <v>682.5</v>
      </c>
      <c r="X109" s="75">
        <f t="shared" si="158"/>
        <v>682.5</v>
      </c>
      <c r="Y109" s="75">
        <f t="shared" si="158"/>
        <v>682.5</v>
      </c>
      <c r="Z109" s="75">
        <f t="shared" si="158"/>
        <v>682.5</v>
      </c>
      <c r="AA109" s="75">
        <f t="shared" si="158"/>
        <v>682.5</v>
      </c>
      <c r="AB109" s="75">
        <f t="shared" si="158"/>
        <v>682.5</v>
      </c>
      <c r="AC109" s="75">
        <f t="shared" si="158"/>
        <v>682.5</v>
      </c>
      <c r="AD109" s="75">
        <f t="shared" si="158"/>
        <v>682.5</v>
      </c>
      <c r="AE109" s="75">
        <f t="shared" si="158"/>
        <v>682.5</v>
      </c>
      <c r="AF109" s="75">
        <f t="shared" si="158"/>
        <v>682.5</v>
      </c>
      <c r="AG109" s="75">
        <f t="shared" si="158"/>
        <v>682.5</v>
      </c>
      <c r="AH109" s="75">
        <f t="shared" si="158"/>
        <v>682.5</v>
      </c>
      <c r="AI109" s="75">
        <f t="shared" si="158"/>
        <v>682.5</v>
      </c>
      <c r="AJ109" s="75">
        <f t="shared" si="158"/>
        <v>682.5</v>
      </c>
      <c r="AK109" s="75">
        <f t="shared" si="158"/>
        <v>682.5</v>
      </c>
      <c r="AL109" s="75">
        <f t="shared" si="158"/>
        <v>682.5</v>
      </c>
      <c r="AM109" s="75">
        <f t="shared" si="158"/>
        <v>682.5</v>
      </c>
      <c r="AN109" s="75">
        <f t="shared" si="158"/>
        <v>682.5</v>
      </c>
      <c r="AO109" s="75">
        <f t="shared" si="158"/>
        <v>682.5</v>
      </c>
      <c r="AP109" s="75">
        <f t="shared" si="158"/>
        <v>682.5</v>
      </c>
      <c r="AQ109" s="75">
        <f t="shared" si="158"/>
        <v>682.5</v>
      </c>
      <c r="AR109" s="75">
        <f t="shared" si="158"/>
        <v>682.5</v>
      </c>
      <c r="AS109" s="75">
        <f t="shared" si="158"/>
        <v>682.5</v>
      </c>
      <c r="AT109" s="75">
        <f t="shared" si="158"/>
        <v>682.5</v>
      </c>
      <c r="AU109" s="75">
        <f t="shared" si="158"/>
        <v>682.5</v>
      </c>
      <c r="AV109" s="75">
        <f t="shared" si="158"/>
        <v>682.5</v>
      </c>
      <c r="AW109" s="75">
        <f t="shared" si="158"/>
        <v>682.5</v>
      </c>
      <c r="AX109" s="75">
        <f t="shared" si="158"/>
        <v>682.5</v>
      </c>
      <c r="AY109" s="75">
        <f t="shared" si="158"/>
        <v>682.5</v>
      </c>
      <c r="AZ109" s="75">
        <f t="shared" si="158"/>
        <v>682.5</v>
      </c>
      <c r="BA109" s="75">
        <f t="shared" si="158"/>
        <v>682.5</v>
      </c>
      <c r="BB109" s="75">
        <f t="shared" si="158"/>
        <v>682.5</v>
      </c>
      <c r="BC109" s="75">
        <f t="shared" si="158"/>
        <v>682.5</v>
      </c>
      <c r="BD109" s="61"/>
      <c r="BE109" s="79">
        <f t="shared" si="159"/>
        <v>0</v>
      </c>
      <c r="BF109" s="79">
        <f t="shared" si="157"/>
        <v>7507.5</v>
      </c>
      <c r="BG109" s="79">
        <f t="shared" si="157"/>
        <v>8190</v>
      </c>
      <c r="BH109" s="79">
        <f t="shared" si="157"/>
        <v>8190</v>
      </c>
    </row>
    <row r="110" spans="2:60" ht="21" customHeight="1" x14ac:dyDescent="0.3">
      <c r="B110" s="60" t="s">
        <v>354</v>
      </c>
      <c r="C110" s="48">
        <f>IF(C$25="","",C$25)</f>
        <v>43891</v>
      </c>
      <c r="D110" s="48">
        <f>IF(D$25="","",D$25)</f>
        <v>43982</v>
      </c>
      <c r="E110" s="47">
        <v>1</v>
      </c>
      <c r="F110" s="79" t="str">
        <f>IF(OR('Covid 19'!$C$3="No",'Covid 19'!$C$4="No"),"",'GP Triage'!H65)</f>
        <v/>
      </c>
      <c r="G110" s="75"/>
      <c r="H110" s="161">
        <f>IF(AND(H$5=1,$F110&lt;&gt;""),$F110/'Covid 19'!$C$7-H109,0)</f>
        <v>0</v>
      </c>
      <c r="I110" s="161">
        <f>IF(AND(I$5=1,$F110&lt;&gt;""),$F110/'Covid 19'!$C$7-I109,0)</f>
        <v>0</v>
      </c>
      <c r="J110" s="161">
        <f>IF(AND(J$5=1,$F110&lt;&gt;""),$F110/'Covid 19'!$C$7-J109,0)</f>
        <v>0</v>
      </c>
      <c r="K110" s="161">
        <f>IF(AND(K$5=1,$F110&lt;&gt;""),$F110/'Covid 19'!$C$7-K109,0)</f>
        <v>0</v>
      </c>
      <c r="L110" s="161">
        <f>IF(AND(L$5=1,$F110&lt;&gt;""),$F110/'Covid 19'!$C$7-L109,0)</f>
        <v>0</v>
      </c>
      <c r="M110" s="161">
        <f>IF(AND(M$5=1,$F110&lt;&gt;""),$F110/'Covid 19'!$C$7-M109,0)</f>
        <v>0</v>
      </c>
      <c r="N110" s="161">
        <f>IF(AND(N$5=1,$F110&lt;&gt;""),$F110/'Covid 19'!$C$7-N109,0)</f>
        <v>0</v>
      </c>
      <c r="O110" s="161">
        <f>IF(AND(O$5=1,$F110&lt;&gt;""),$F110/'Covid 19'!$C$7-O109,0)</f>
        <v>0</v>
      </c>
      <c r="P110" s="161">
        <f>IF(AND(P$5=1,$F110&lt;&gt;""),$F110/'Covid 19'!$C$7-P109,0)</f>
        <v>0</v>
      </c>
      <c r="Q110" s="161">
        <f>IF(AND(Q$5=1,$F110&lt;&gt;""),$F110/'Covid 19'!$C$7-Q109,0)</f>
        <v>0</v>
      </c>
      <c r="R110" s="161">
        <f>IF(AND(R$5=1,$F110&lt;&gt;""),$F110/'Covid 19'!$C$7-R109,0)</f>
        <v>0</v>
      </c>
      <c r="S110" s="161">
        <f>IF(AND(S$5=1,$F110&lt;&gt;""),$F110/'Covid 19'!$C$7-S109,0)</f>
        <v>0</v>
      </c>
      <c r="T110" s="161">
        <f>IF(AND(T$5=1,$F110&lt;&gt;""),$F110/'Covid 19'!$C$7-T109,0)</f>
        <v>0</v>
      </c>
      <c r="U110" s="161">
        <f>IF(AND(U$5=1,$F110&lt;&gt;""),$F110/'Covid 19'!$C$7-U109,0)</f>
        <v>0</v>
      </c>
      <c r="V110" s="161">
        <f>IF(AND(V$5=1,$F110&lt;&gt;""),$F110/'Covid 19'!$C$7-V109,0)</f>
        <v>0</v>
      </c>
      <c r="W110" s="161">
        <f>IF(AND(W$5=1,$F110&lt;&gt;""),$F110/'Covid 19'!$C$7-W109,0)</f>
        <v>0</v>
      </c>
      <c r="X110" s="161">
        <f>IF(AND(X$5=1,$F110&lt;&gt;""),$F110/'Covid 19'!$C$7-X109,0)</f>
        <v>0</v>
      </c>
      <c r="Y110" s="161">
        <f>IF(AND(Y$5=1,$F110&lt;&gt;""),$F110/'Covid 19'!$C$7-Y109,0)</f>
        <v>0</v>
      </c>
      <c r="Z110" s="161">
        <f>IF(AND(Z$5=1,$F110&lt;&gt;""),$F110/'Covid 19'!$C$7-Z109,0)</f>
        <v>0</v>
      </c>
      <c r="AA110" s="161">
        <f>IF(AND(AA$5=1,$F110&lt;&gt;""),$F110/'Covid 19'!$C$7-AA109,0)</f>
        <v>0</v>
      </c>
      <c r="AB110" s="161">
        <f>IF(AND(AB$5=1,$F110&lt;&gt;""),$F110/'Covid 19'!$C$7-AB109,0)</f>
        <v>0</v>
      </c>
      <c r="AC110" s="161">
        <f>IF(AND(AC$5=1,$F110&lt;&gt;""),$F110/'Covid 19'!$C$7-AC109,0)</f>
        <v>0</v>
      </c>
      <c r="AD110" s="161">
        <f>IF(AND(AD$5=1,$F110&lt;&gt;""),$F110/'Covid 19'!$C$7-AD109,0)</f>
        <v>0</v>
      </c>
      <c r="AE110" s="161">
        <f>IF(AND(AE$5=1,$F110&lt;&gt;""),$F110/'Covid 19'!$C$7-AE109,0)</f>
        <v>0</v>
      </c>
      <c r="AF110" s="161">
        <f>IF(AND(AF$5=1,$F110&lt;&gt;""),$F110/'Covid 19'!$C$7-AF109,0)</f>
        <v>0</v>
      </c>
      <c r="AG110" s="161">
        <f>IF(AND(AG$5=1,$F110&lt;&gt;""),$F110/'Covid 19'!$C$7-AG109,0)</f>
        <v>0</v>
      </c>
      <c r="AH110" s="161">
        <f>IF(AND(AH$5=1,$F110&lt;&gt;""),$F110/'Covid 19'!$C$7-AH109,0)</f>
        <v>0</v>
      </c>
      <c r="AI110" s="161">
        <f>IF(AND(AI$5=1,$F110&lt;&gt;""),$F110/'Covid 19'!$C$7-AI109,0)</f>
        <v>0</v>
      </c>
      <c r="AJ110" s="161">
        <f>IF(AND(AJ$5=1,$F110&lt;&gt;""),$F110/'Covid 19'!$C$7-AJ109,0)</f>
        <v>0</v>
      </c>
      <c r="AK110" s="161">
        <f>IF(AND(AK$5=1,$F110&lt;&gt;""),$F110/'Covid 19'!$C$7-AK109,0)</f>
        <v>0</v>
      </c>
      <c r="AL110" s="161">
        <f>IF(AND(AL$5=1,$F110&lt;&gt;""),$F110/'Covid 19'!$C$7-AL109,0)</f>
        <v>0</v>
      </c>
      <c r="AM110" s="161">
        <f>IF(AND(AM$5=1,$F110&lt;&gt;""),$F110/'Covid 19'!$C$7-AM109,0)</f>
        <v>0</v>
      </c>
      <c r="AN110" s="161">
        <f>IF(AND(AN$5=1,$F110&lt;&gt;""),$F110/'Covid 19'!$C$7-AN109,0)</f>
        <v>0</v>
      </c>
      <c r="AO110" s="161">
        <f>IF(AND(AO$5=1,$F110&lt;&gt;""),$F110/'Covid 19'!$C$7-AO109,0)</f>
        <v>0</v>
      </c>
      <c r="AP110" s="161">
        <f>IF(AND(AP$5=1,$F110&lt;&gt;""),$F110/'Covid 19'!$C$7-AP109,0)</f>
        <v>0</v>
      </c>
      <c r="AQ110" s="161">
        <f>IF(AND(AQ$5=1,$F110&lt;&gt;""),$F110/'Covid 19'!$C$7-AQ109,0)</f>
        <v>0</v>
      </c>
      <c r="AR110" s="161">
        <f>IF(AND(AR$5=1,$F110&lt;&gt;""),$F110/'Covid 19'!$C$7-AR109,0)</f>
        <v>0</v>
      </c>
      <c r="AS110" s="161">
        <f>IF(AND(AS$5=1,$F110&lt;&gt;""),$F110/'Covid 19'!$C$7-AS109,0)</f>
        <v>0</v>
      </c>
      <c r="AT110" s="161">
        <f>IF(AND(AT$5=1,$F110&lt;&gt;""),$F110/'Covid 19'!$C$7-AT109,0)</f>
        <v>0</v>
      </c>
      <c r="AU110" s="161">
        <f>IF(AND(AU$5=1,$F110&lt;&gt;""),$F110/'Covid 19'!$C$7-AU109,0)</f>
        <v>0</v>
      </c>
      <c r="AV110" s="161">
        <f>IF(AND(AV$5=1,$F110&lt;&gt;""),$F110/'Covid 19'!$C$7-AV109,0)</f>
        <v>0</v>
      </c>
      <c r="AW110" s="161">
        <f>IF(AND(AW$5=1,$F110&lt;&gt;""),$F110/'Covid 19'!$C$7-AW109,0)</f>
        <v>0</v>
      </c>
      <c r="AX110" s="161">
        <f>IF(AND(AX$5=1,$F110&lt;&gt;""),$F110/'Covid 19'!$C$7-AX109,0)</f>
        <v>0</v>
      </c>
      <c r="AY110" s="161">
        <f>IF(AND(AY$5=1,$F110&lt;&gt;""),$F110/'Covid 19'!$C$7-AY109,0)</f>
        <v>0</v>
      </c>
      <c r="AZ110" s="161">
        <f>IF(AND(AZ$5=1,$F110&lt;&gt;""),$F110/'Covid 19'!$C$7-AZ109,0)</f>
        <v>0</v>
      </c>
      <c r="BA110" s="161">
        <f>IF(AND(BA$5=1,$F110&lt;&gt;""),$F110/'Covid 19'!$C$7-BA109,0)</f>
        <v>0</v>
      </c>
      <c r="BB110" s="161">
        <f>IF(AND(BB$5=1,$F110&lt;&gt;""),$F110/'Covid 19'!$C$7-BB109,0)</f>
        <v>0</v>
      </c>
      <c r="BC110" s="161">
        <f>IF(AND(BC$5=1,$F110&lt;&gt;""),$F110/'Covid 19'!$C$7-BC109,0)</f>
        <v>0</v>
      </c>
      <c r="BE110" s="75">
        <f t="shared" si="159"/>
        <v>0</v>
      </c>
      <c r="BF110" s="75">
        <f t="shared" si="157"/>
        <v>0</v>
      </c>
      <c r="BG110" s="75">
        <f t="shared" si="157"/>
        <v>0</v>
      </c>
      <c r="BH110" s="75">
        <f t="shared" si="157"/>
        <v>0</v>
      </c>
    </row>
    <row r="111" spans="2:60" ht="21" customHeight="1" x14ac:dyDescent="0.3">
      <c r="B111" s="60" t="s">
        <v>264</v>
      </c>
      <c r="C111" s="48">
        <f>IF(C$26="","",C$26)</f>
        <v>43922</v>
      </c>
      <c r="D111" s="48" t="str">
        <f>IF(D$26="","",D$26)</f>
        <v/>
      </c>
      <c r="E111" s="47">
        <f>IF(E26="","",E26)</f>
        <v>36</v>
      </c>
      <c r="F111" s="79">
        <f>Virtual!C42</f>
        <v>-5000</v>
      </c>
      <c r="G111" s="75"/>
      <c r="H111" s="75">
        <f>IFERROR(MIN(1,MAX(0,(EOMONTH(H$4,0)+1-$C111)/(EDATE($C111,$E111)-$C111)))*$F111/12+IF(AND(H$4&gt;=EOMONTH($C111,0),H$4&lt;=EOMONTH($C111,11)),$G111/12,0),0)</f>
        <v>0</v>
      </c>
      <c r="I111" s="75">
        <f t="shared" ref="I111:BC111" si="160">IFERROR(MIN(1,MAX(0,(EOMONTH(I$4,0)+1-$C111)/(EDATE($C111,$E111)-$C111)))*$F111/12+IF(AND(I$4&gt;=EOMONTH($C111,0),I$4&lt;=EOMONTH($C111,11)),$G111/12,0),0)</f>
        <v>0</v>
      </c>
      <c r="J111" s="75">
        <f t="shared" si="160"/>
        <v>0</v>
      </c>
      <c r="K111" s="75">
        <f t="shared" si="160"/>
        <v>0</v>
      </c>
      <c r="L111" s="75">
        <f t="shared" si="160"/>
        <v>0</v>
      </c>
      <c r="M111" s="75">
        <f t="shared" si="160"/>
        <v>0</v>
      </c>
      <c r="N111" s="75">
        <f t="shared" si="160"/>
        <v>0</v>
      </c>
      <c r="O111" s="75">
        <f t="shared" si="160"/>
        <v>0</v>
      </c>
      <c r="P111" s="75">
        <f t="shared" si="160"/>
        <v>0</v>
      </c>
      <c r="Q111" s="75">
        <f t="shared" si="160"/>
        <v>0</v>
      </c>
      <c r="R111" s="75">
        <f t="shared" si="160"/>
        <v>0</v>
      </c>
      <c r="S111" s="75">
        <f t="shared" si="160"/>
        <v>0</v>
      </c>
      <c r="T111" s="75">
        <f t="shared" si="160"/>
        <v>-11.415525114155251</v>
      </c>
      <c r="U111" s="75">
        <f t="shared" si="160"/>
        <v>-23.211567732115679</v>
      </c>
      <c r="V111" s="75">
        <f t="shared" si="160"/>
        <v>-34.627092846270934</v>
      </c>
      <c r="W111" s="75">
        <f t="shared" si="160"/>
        <v>-46.423135464231358</v>
      </c>
      <c r="X111" s="75">
        <f t="shared" si="160"/>
        <v>-58.219178082191782</v>
      </c>
      <c r="Y111" s="75">
        <f t="shared" si="160"/>
        <v>-69.634703196347033</v>
      </c>
      <c r="Z111" s="75">
        <f t="shared" si="160"/>
        <v>-81.430745814307457</v>
      </c>
      <c r="AA111" s="75">
        <f t="shared" si="160"/>
        <v>-92.846270928462715</v>
      </c>
      <c r="AB111" s="75">
        <f t="shared" si="160"/>
        <v>-104.64231354642313</v>
      </c>
      <c r="AC111" s="75">
        <f t="shared" si="160"/>
        <v>-116.43835616438356</v>
      </c>
      <c r="AD111" s="75">
        <f t="shared" si="160"/>
        <v>-127.09284627092846</v>
      </c>
      <c r="AE111" s="75">
        <f t="shared" si="160"/>
        <v>-138.88888888888889</v>
      </c>
      <c r="AF111" s="75">
        <f t="shared" si="160"/>
        <v>-150.30441400304412</v>
      </c>
      <c r="AG111" s="75">
        <f t="shared" si="160"/>
        <v>-162.10045662100455</v>
      </c>
      <c r="AH111" s="75">
        <f t="shared" si="160"/>
        <v>-173.51598173515981</v>
      </c>
      <c r="AI111" s="75">
        <f t="shared" si="160"/>
        <v>-185.31202435312025</v>
      </c>
      <c r="AJ111" s="75">
        <f t="shared" si="160"/>
        <v>-197.10806697108069</v>
      </c>
      <c r="AK111" s="75">
        <f t="shared" si="160"/>
        <v>-208.52359208523592</v>
      </c>
      <c r="AL111" s="75">
        <f t="shared" si="160"/>
        <v>-220.31963470319636</v>
      </c>
      <c r="AM111" s="75">
        <f t="shared" si="160"/>
        <v>-231.73515981735162</v>
      </c>
      <c r="AN111" s="75">
        <f t="shared" si="160"/>
        <v>-243.53120243531203</v>
      </c>
      <c r="AO111" s="75">
        <f t="shared" si="160"/>
        <v>-255.32724505327246</v>
      </c>
      <c r="AP111" s="75">
        <f t="shared" si="160"/>
        <v>-265.98173515981733</v>
      </c>
      <c r="AQ111" s="75">
        <f t="shared" si="160"/>
        <v>-277.77777777777777</v>
      </c>
      <c r="AR111" s="75">
        <f t="shared" si="160"/>
        <v>-289.193302891933</v>
      </c>
      <c r="AS111" s="75">
        <f t="shared" si="160"/>
        <v>-300.98934550989344</v>
      </c>
      <c r="AT111" s="75">
        <f t="shared" si="160"/>
        <v>-312.40487062404867</v>
      </c>
      <c r="AU111" s="75">
        <f t="shared" si="160"/>
        <v>-324.20091324200911</v>
      </c>
      <c r="AV111" s="75">
        <f t="shared" si="160"/>
        <v>-335.99695585996955</v>
      </c>
      <c r="AW111" s="75">
        <f t="shared" si="160"/>
        <v>-347.41248097412478</v>
      </c>
      <c r="AX111" s="75">
        <f t="shared" si="160"/>
        <v>-359.20852359208521</v>
      </c>
      <c r="AY111" s="75">
        <f t="shared" si="160"/>
        <v>-370.6240487062405</v>
      </c>
      <c r="AZ111" s="75">
        <f t="shared" si="160"/>
        <v>-382.42009132420094</v>
      </c>
      <c r="BA111" s="75">
        <f t="shared" si="160"/>
        <v>-394.21613394216138</v>
      </c>
      <c r="BB111" s="75">
        <f t="shared" si="160"/>
        <v>-404.87062404870625</v>
      </c>
      <c r="BC111" s="75">
        <f t="shared" si="160"/>
        <v>-416.66666666666669</v>
      </c>
      <c r="BD111" s="61"/>
      <c r="BE111" s="79">
        <f t="shared" si="159"/>
        <v>0</v>
      </c>
      <c r="BF111" s="79">
        <f t="shared" si="157"/>
        <v>-904.8706240487063</v>
      </c>
      <c r="BG111" s="79">
        <f t="shared" si="157"/>
        <v>-2571.5372907153728</v>
      </c>
      <c r="BH111" s="79">
        <f t="shared" si="157"/>
        <v>-4238.2039573820393</v>
      </c>
    </row>
    <row r="112" spans="2:60" ht="21" customHeight="1" x14ac:dyDescent="0.3">
      <c r="B112" s="60" t="s">
        <v>367</v>
      </c>
      <c r="C112" s="48">
        <f>C104</f>
        <v>43891</v>
      </c>
      <c r="D112" s="48">
        <f>D105</f>
        <v>44165</v>
      </c>
      <c r="E112" s="47">
        <v>1</v>
      </c>
      <c r="F112" s="75"/>
      <c r="G112" s="75"/>
      <c r="H112" s="161">
        <f>IF(AND(H$5=1,$G112&lt;&gt;""),$G112-H111,IF(AND(H$5=2,$F112&lt;&gt;""),$F112-H111,0))</f>
        <v>0</v>
      </c>
      <c r="I112" s="161">
        <f t="shared" ref="I112" si="161">IF(AND(I$5=1,$G112&lt;&gt;""),$G112-I111,IF(AND(I$5=2,$F112&lt;&gt;""),$F112-I111,0))</f>
        <v>0</v>
      </c>
      <c r="J112" s="161">
        <f t="shared" ref="J112" si="162">IF(AND(J$5=1,$G112&lt;&gt;""),$G112-J111,IF(AND(J$5=2,$F112&lt;&gt;""),$F112-J111,0))</f>
        <v>0</v>
      </c>
      <c r="K112" s="161">
        <f t="shared" ref="K112" si="163">IF(AND(K$5=1,$G112&lt;&gt;""),$G112-K111,IF(AND(K$5=2,$F112&lt;&gt;""),$F112-K111,0))</f>
        <v>0</v>
      </c>
      <c r="L112" s="161">
        <f t="shared" ref="L112" si="164">IF(AND(L$5=1,$G112&lt;&gt;""),$G112-L111,IF(AND(L$5=2,$F112&lt;&gt;""),$F112-L111,0))</f>
        <v>0</v>
      </c>
      <c r="M112" s="161">
        <f t="shared" ref="M112" si="165">IF(AND(M$5=1,$G112&lt;&gt;""),$G112-M111,IF(AND(M$5=2,$F112&lt;&gt;""),$F112-M111,0))</f>
        <v>0</v>
      </c>
      <c r="N112" s="161">
        <f t="shared" ref="N112" si="166">IF(AND(N$5=1,$G112&lt;&gt;""),$G112-N111,IF(AND(N$5=2,$F112&lt;&gt;""),$F112-N111,0))</f>
        <v>0</v>
      </c>
      <c r="O112" s="161">
        <f t="shared" ref="O112" si="167">IF(AND(O$5=1,$G112&lt;&gt;""),$G112-O111,IF(AND(O$5=2,$F112&lt;&gt;""),$F112-O111,0))</f>
        <v>0</v>
      </c>
      <c r="P112" s="161">
        <f t="shared" ref="P112" si="168">IF(AND(P$5=1,$G112&lt;&gt;""),$G112-P111,IF(AND(P$5=2,$F112&lt;&gt;""),$F112-P111,0))</f>
        <v>0</v>
      </c>
      <c r="Q112" s="161">
        <f t="shared" ref="Q112" si="169">IF(AND(Q$5=1,$G112&lt;&gt;""),$G112-Q111,IF(AND(Q$5=2,$F112&lt;&gt;""),$F112-Q111,0))</f>
        <v>0</v>
      </c>
      <c r="R112" s="161">
        <f t="shared" ref="R112" si="170">IF(AND(R$5=1,$G112&lt;&gt;""),$G112-R111,IF(AND(R$5=2,$F112&lt;&gt;""),$F112-R111,0))</f>
        <v>0</v>
      </c>
      <c r="S112" s="161">
        <f t="shared" ref="S112" si="171">IF(AND(S$5=1,$G112&lt;&gt;""),$G112-S111,IF(AND(S$5=2,$F112&lt;&gt;""),$F112-S111,0))</f>
        <v>0</v>
      </c>
      <c r="T112" s="161">
        <f t="shared" ref="T112" si="172">IF(AND(T$5=1,$G112&lt;&gt;""),$G112-T111,IF(AND(T$5=2,$F112&lt;&gt;""),$F112-T111,0))</f>
        <v>0</v>
      </c>
      <c r="U112" s="161">
        <f t="shared" ref="U112" si="173">IF(AND(U$5=1,$G112&lt;&gt;""),$G112-U111,IF(AND(U$5=2,$F112&lt;&gt;""),$F112-U111,0))</f>
        <v>0</v>
      </c>
      <c r="V112" s="161">
        <f t="shared" ref="V112" si="174">IF(AND(V$5=1,$G112&lt;&gt;""),$G112-V111,IF(AND(V$5=2,$F112&lt;&gt;""),$F112-V111,0))</f>
        <v>0</v>
      </c>
      <c r="W112" s="161">
        <f t="shared" ref="W112" si="175">IF(AND(W$5=1,$G112&lt;&gt;""),$G112-W111,IF(AND(W$5=2,$F112&lt;&gt;""),$F112-W111,0))</f>
        <v>0</v>
      </c>
      <c r="X112" s="161">
        <f t="shared" ref="X112" si="176">IF(AND(X$5=1,$G112&lt;&gt;""),$G112-X111,IF(AND(X$5=2,$F112&lt;&gt;""),$F112-X111,0))</f>
        <v>0</v>
      </c>
      <c r="Y112" s="161">
        <f t="shared" ref="Y112" si="177">IF(AND(Y$5=1,$G112&lt;&gt;""),$G112-Y111,IF(AND(Y$5=2,$F112&lt;&gt;""),$F112-Y111,0))</f>
        <v>0</v>
      </c>
      <c r="Z112" s="161">
        <f t="shared" ref="Z112" si="178">IF(AND(Z$5=1,$G112&lt;&gt;""),$G112-Z111,IF(AND(Z$5=2,$F112&lt;&gt;""),$F112-Z111,0))</f>
        <v>0</v>
      </c>
      <c r="AA112" s="161">
        <f t="shared" ref="AA112" si="179">IF(AND(AA$5=1,$G112&lt;&gt;""),$G112-AA111,IF(AND(AA$5=2,$F112&lt;&gt;""),$F112-AA111,0))</f>
        <v>0</v>
      </c>
      <c r="AB112" s="161">
        <f t="shared" ref="AB112" si="180">IF(AND(AB$5=1,$G112&lt;&gt;""),$G112-AB111,IF(AND(AB$5=2,$F112&lt;&gt;""),$F112-AB111,0))</f>
        <v>0</v>
      </c>
      <c r="AC112" s="161">
        <f t="shared" ref="AC112" si="181">IF(AND(AC$5=1,$G112&lt;&gt;""),$G112-AC111,IF(AND(AC$5=2,$F112&lt;&gt;""),$F112-AC111,0))</f>
        <v>0</v>
      </c>
      <c r="AD112" s="161">
        <f t="shared" ref="AD112" si="182">IF(AND(AD$5=1,$G112&lt;&gt;""),$G112-AD111,IF(AND(AD$5=2,$F112&lt;&gt;""),$F112-AD111,0))</f>
        <v>0</v>
      </c>
      <c r="AE112" s="161">
        <f t="shared" ref="AE112" si="183">IF(AND(AE$5=1,$G112&lt;&gt;""),$G112-AE111,IF(AND(AE$5=2,$F112&lt;&gt;""),$F112-AE111,0))</f>
        <v>0</v>
      </c>
      <c r="AF112" s="161">
        <f t="shared" ref="AF112" si="184">IF(AND(AF$5=1,$G112&lt;&gt;""),$G112-AF111,IF(AND(AF$5=2,$F112&lt;&gt;""),$F112-AF111,0))</f>
        <v>0</v>
      </c>
      <c r="AG112" s="161">
        <f t="shared" ref="AG112" si="185">IF(AND(AG$5=1,$G112&lt;&gt;""),$G112-AG111,IF(AND(AG$5=2,$F112&lt;&gt;""),$F112-AG111,0))</f>
        <v>0</v>
      </c>
      <c r="AH112" s="161">
        <f t="shared" ref="AH112" si="186">IF(AND(AH$5=1,$G112&lt;&gt;""),$G112-AH111,IF(AND(AH$5=2,$F112&lt;&gt;""),$F112-AH111,0))</f>
        <v>0</v>
      </c>
      <c r="AI112" s="161">
        <f t="shared" ref="AI112" si="187">IF(AND(AI$5=1,$G112&lt;&gt;""),$G112-AI111,IF(AND(AI$5=2,$F112&lt;&gt;""),$F112-AI111,0))</f>
        <v>0</v>
      </c>
      <c r="AJ112" s="161">
        <f t="shared" ref="AJ112" si="188">IF(AND(AJ$5=1,$G112&lt;&gt;""),$G112-AJ111,IF(AND(AJ$5=2,$F112&lt;&gt;""),$F112-AJ111,0))</f>
        <v>0</v>
      </c>
      <c r="AK112" s="161">
        <f t="shared" ref="AK112" si="189">IF(AND(AK$5=1,$G112&lt;&gt;""),$G112-AK111,IF(AND(AK$5=2,$F112&lt;&gt;""),$F112-AK111,0))</f>
        <v>0</v>
      </c>
      <c r="AL112" s="161">
        <f t="shared" ref="AL112" si="190">IF(AND(AL$5=1,$G112&lt;&gt;""),$G112-AL111,IF(AND(AL$5=2,$F112&lt;&gt;""),$F112-AL111,0))</f>
        <v>0</v>
      </c>
      <c r="AM112" s="161">
        <f t="shared" ref="AM112" si="191">IF(AND(AM$5=1,$G112&lt;&gt;""),$G112-AM111,IF(AND(AM$5=2,$F112&lt;&gt;""),$F112-AM111,0))</f>
        <v>0</v>
      </c>
      <c r="AN112" s="161">
        <f t="shared" ref="AN112" si="192">IF(AND(AN$5=1,$G112&lt;&gt;""),$G112-AN111,IF(AND(AN$5=2,$F112&lt;&gt;""),$F112-AN111,0))</f>
        <v>0</v>
      </c>
      <c r="AO112" s="161">
        <f t="shared" ref="AO112" si="193">IF(AND(AO$5=1,$G112&lt;&gt;""),$G112-AO111,IF(AND(AO$5=2,$F112&lt;&gt;""),$F112-AO111,0))</f>
        <v>0</v>
      </c>
      <c r="AP112" s="161">
        <f t="shared" ref="AP112" si="194">IF(AND(AP$5=1,$G112&lt;&gt;""),$G112-AP111,IF(AND(AP$5=2,$F112&lt;&gt;""),$F112-AP111,0))</f>
        <v>0</v>
      </c>
      <c r="AQ112" s="161">
        <f t="shared" ref="AQ112" si="195">IF(AND(AQ$5=1,$G112&lt;&gt;""),$G112-AQ111,IF(AND(AQ$5=2,$F112&lt;&gt;""),$F112-AQ111,0))</f>
        <v>0</v>
      </c>
      <c r="AR112" s="161">
        <f t="shared" ref="AR112" si="196">IF(AND(AR$5=1,$G112&lt;&gt;""),$G112-AR111,IF(AND(AR$5=2,$F112&lt;&gt;""),$F112-AR111,0))</f>
        <v>0</v>
      </c>
      <c r="AS112" s="161">
        <f t="shared" ref="AS112" si="197">IF(AND(AS$5=1,$G112&lt;&gt;""),$G112-AS111,IF(AND(AS$5=2,$F112&lt;&gt;""),$F112-AS111,0))</f>
        <v>0</v>
      </c>
      <c r="AT112" s="161">
        <f t="shared" ref="AT112" si="198">IF(AND(AT$5=1,$G112&lt;&gt;""),$G112-AT111,IF(AND(AT$5=2,$F112&lt;&gt;""),$F112-AT111,0))</f>
        <v>0</v>
      </c>
      <c r="AU112" s="161">
        <f t="shared" ref="AU112" si="199">IF(AND(AU$5=1,$G112&lt;&gt;""),$G112-AU111,IF(AND(AU$5=2,$F112&lt;&gt;""),$F112-AU111,0))</f>
        <v>0</v>
      </c>
      <c r="AV112" s="161">
        <f t="shared" ref="AV112" si="200">IF(AND(AV$5=1,$G112&lt;&gt;""),$G112-AV111,IF(AND(AV$5=2,$F112&lt;&gt;""),$F112-AV111,0))</f>
        <v>0</v>
      </c>
      <c r="AW112" s="161">
        <f t="shared" ref="AW112" si="201">IF(AND(AW$5=1,$G112&lt;&gt;""),$G112-AW111,IF(AND(AW$5=2,$F112&lt;&gt;""),$F112-AW111,0))</f>
        <v>0</v>
      </c>
      <c r="AX112" s="161">
        <f t="shared" ref="AX112" si="202">IF(AND(AX$5=1,$G112&lt;&gt;""),$G112-AX111,IF(AND(AX$5=2,$F112&lt;&gt;""),$F112-AX111,0))</f>
        <v>0</v>
      </c>
      <c r="AY112" s="161">
        <f t="shared" ref="AY112" si="203">IF(AND(AY$5=1,$G112&lt;&gt;""),$G112-AY111,IF(AND(AY$5=2,$F112&lt;&gt;""),$F112-AY111,0))</f>
        <v>0</v>
      </c>
      <c r="AZ112" s="161">
        <f t="shared" ref="AZ112" si="204">IF(AND(AZ$5=1,$G112&lt;&gt;""),$G112-AZ111,IF(AND(AZ$5=2,$F112&lt;&gt;""),$F112-AZ111,0))</f>
        <v>0</v>
      </c>
      <c r="BA112" s="161">
        <f t="shared" ref="BA112" si="205">IF(AND(BA$5=1,$G112&lt;&gt;""),$G112-BA111,IF(AND(BA$5=2,$F112&lt;&gt;""),$F112-BA111,0))</f>
        <v>0</v>
      </c>
      <c r="BB112" s="161">
        <f t="shared" ref="BB112" si="206">IF(AND(BB$5=1,$G112&lt;&gt;""),$G112-BB111,IF(AND(BB$5=2,$F112&lt;&gt;""),$F112-BB111,0))</f>
        <v>0</v>
      </c>
      <c r="BC112" s="161">
        <f t="shared" ref="BC112" si="207">IF(AND(BC$5=1,$G112&lt;&gt;""),$G112-BC111,IF(AND(BC$5=2,$F112&lt;&gt;""),$F112-BC111,0))</f>
        <v>0</v>
      </c>
      <c r="BE112" s="75">
        <f t="shared" si="159"/>
        <v>0</v>
      </c>
      <c r="BF112" s="75">
        <f t="shared" si="157"/>
        <v>0</v>
      </c>
      <c r="BG112" s="75">
        <f t="shared" si="157"/>
        <v>0</v>
      </c>
      <c r="BH112" s="75">
        <f t="shared" si="157"/>
        <v>0</v>
      </c>
    </row>
    <row r="113" spans="2:60" ht="21" customHeight="1" x14ac:dyDescent="0.3">
      <c r="B113" s="60" t="str">
        <f>$B$28</f>
        <v>YOC</v>
      </c>
      <c r="C113" s="48">
        <f>IF(C$28="","",C$28)</f>
        <v>43922</v>
      </c>
      <c r="D113" s="48" t="str">
        <f>IF(D$28="","",D$28)</f>
        <v/>
      </c>
      <c r="E113" s="47">
        <f>IF(E$28="","",E$28)</f>
        <v>12</v>
      </c>
      <c r="F113" s="79">
        <f>IF(YOC_Include="Yes",YOC!D42,0)</f>
        <v>107500</v>
      </c>
      <c r="G113" s="75"/>
      <c r="H113" s="75">
        <f>IFERROR(MIN(1,MAX(0,(EOMONTH(H$4,0)+1-$C113)/(EDATE($C113,$E113)-$C113)))*$F113/12+IF(AND(H$4&gt;=EOMONTH($C113,0),H$4&lt;=EOMONTH($C113,11)),$G113/12,0),0)</f>
        <v>0</v>
      </c>
      <c r="I113" s="75">
        <f t="shared" ref="I113:BC118" si="208">IFERROR(MIN(1,MAX(0,(EOMONTH(I$4,0)+1-$C113)/(EDATE($C113,$E113)-$C113)))*$F113/12+IF(AND(I$4&gt;=EOMONTH($C113,0),I$4&lt;=EOMONTH($C113,11)),$G113/12,0),0)</f>
        <v>0</v>
      </c>
      <c r="J113" s="75">
        <f t="shared" si="208"/>
        <v>0</v>
      </c>
      <c r="K113" s="75">
        <f t="shared" si="208"/>
        <v>0</v>
      </c>
      <c r="L113" s="75">
        <f t="shared" si="208"/>
        <v>0</v>
      </c>
      <c r="M113" s="75">
        <f t="shared" si="208"/>
        <v>0</v>
      </c>
      <c r="N113" s="75">
        <f t="shared" si="208"/>
        <v>0</v>
      </c>
      <c r="O113" s="75">
        <f t="shared" si="208"/>
        <v>0</v>
      </c>
      <c r="P113" s="75">
        <f t="shared" si="208"/>
        <v>0</v>
      </c>
      <c r="Q113" s="75">
        <f t="shared" si="208"/>
        <v>0</v>
      </c>
      <c r="R113" s="75">
        <f t="shared" si="208"/>
        <v>0</v>
      </c>
      <c r="S113" s="75">
        <f t="shared" si="208"/>
        <v>0</v>
      </c>
      <c r="T113" s="75">
        <f t="shared" si="208"/>
        <v>736.30136986301375</v>
      </c>
      <c r="U113" s="75">
        <f t="shared" si="208"/>
        <v>1497.1461187214611</v>
      </c>
      <c r="V113" s="75">
        <f t="shared" si="208"/>
        <v>2233.4474885844752</v>
      </c>
      <c r="W113" s="75">
        <f t="shared" si="208"/>
        <v>2994.2922374429222</v>
      </c>
      <c r="X113" s="75">
        <f t="shared" si="208"/>
        <v>3755.1369863013697</v>
      </c>
      <c r="Y113" s="75">
        <f t="shared" si="208"/>
        <v>4491.4383561643835</v>
      </c>
      <c r="Z113" s="75">
        <f t="shared" si="208"/>
        <v>5252.2831050228315</v>
      </c>
      <c r="AA113" s="75">
        <f t="shared" si="208"/>
        <v>5988.5844748858444</v>
      </c>
      <c r="AB113" s="75">
        <f t="shared" si="208"/>
        <v>6749.4292237442924</v>
      </c>
      <c r="AC113" s="75">
        <f t="shared" si="208"/>
        <v>7510.2739726027394</v>
      </c>
      <c r="AD113" s="75">
        <f t="shared" si="208"/>
        <v>8197.488584474886</v>
      </c>
      <c r="AE113" s="75">
        <f t="shared" si="208"/>
        <v>8958.3333333333339</v>
      </c>
      <c r="AF113" s="75">
        <f t="shared" si="208"/>
        <v>8958.3333333333339</v>
      </c>
      <c r="AG113" s="75">
        <f t="shared" si="208"/>
        <v>8958.3333333333339</v>
      </c>
      <c r="AH113" s="75">
        <f t="shared" si="208"/>
        <v>8958.3333333333339</v>
      </c>
      <c r="AI113" s="75">
        <f t="shared" si="208"/>
        <v>8958.3333333333339</v>
      </c>
      <c r="AJ113" s="75">
        <f t="shared" si="208"/>
        <v>8958.3333333333339</v>
      </c>
      <c r="AK113" s="75">
        <f t="shared" si="208"/>
        <v>8958.3333333333339</v>
      </c>
      <c r="AL113" s="75">
        <f t="shared" si="208"/>
        <v>8958.3333333333339</v>
      </c>
      <c r="AM113" s="75">
        <f t="shared" si="208"/>
        <v>8958.3333333333339</v>
      </c>
      <c r="AN113" s="75">
        <f t="shared" si="208"/>
        <v>8958.3333333333339</v>
      </c>
      <c r="AO113" s="75">
        <f t="shared" si="208"/>
        <v>8958.3333333333339</v>
      </c>
      <c r="AP113" s="75">
        <f t="shared" si="208"/>
        <v>8958.3333333333339</v>
      </c>
      <c r="AQ113" s="75">
        <f t="shared" si="208"/>
        <v>8958.3333333333339</v>
      </c>
      <c r="AR113" s="75">
        <f t="shared" si="208"/>
        <v>8958.3333333333339</v>
      </c>
      <c r="AS113" s="75">
        <f t="shared" si="208"/>
        <v>8958.3333333333339</v>
      </c>
      <c r="AT113" s="75">
        <f t="shared" si="208"/>
        <v>8958.3333333333339</v>
      </c>
      <c r="AU113" s="75">
        <f t="shared" si="208"/>
        <v>8958.3333333333339</v>
      </c>
      <c r="AV113" s="75">
        <f t="shared" si="208"/>
        <v>8958.3333333333339</v>
      </c>
      <c r="AW113" s="75">
        <f t="shared" si="208"/>
        <v>8958.3333333333339</v>
      </c>
      <c r="AX113" s="75">
        <f t="shared" si="208"/>
        <v>8958.3333333333339</v>
      </c>
      <c r="AY113" s="75">
        <f t="shared" si="208"/>
        <v>8958.3333333333339</v>
      </c>
      <c r="AZ113" s="75">
        <f t="shared" si="208"/>
        <v>8958.3333333333339</v>
      </c>
      <c r="BA113" s="75">
        <f t="shared" si="208"/>
        <v>8958.3333333333339</v>
      </c>
      <c r="BB113" s="75">
        <f t="shared" si="208"/>
        <v>8958.3333333333339</v>
      </c>
      <c r="BC113" s="75">
        <f t="shared" si="208"/>
        <v>8958.3333333333339</v>
      </c>
      <c r="BD113" s="61"/>
      <c r="BE113" s="79">
        <f t="shared" si="159"/>
        <v>0</v>
      </c>
      <c r="BF113" s="79">
        <f t="shared" si="157"/>
        <v>58364.15525114155</v>
      </c>
      <c r="BG113" s="79">
        <f t="shared" si="157"/>
        <v>107499.99999999999</v>
      </c>
      <c r="BH113" s="79">
        <f t="shared" si="157"/>
        <v>107499.99999999999</v>
      </c>
    </row>
    <row r="114" spans="2:60" ht="21" customHeight="1" x14ac:dyDescent="0.3">
      <c r="B114" s="60" t="str">
        <f>$B$29</f>
        <v>Extended hours</v>
      </c>
      <c r="C114" s="48">
        <f>IF(C$29="","",C$29)</f>
        <v>43922</v>
      </c>
      <c r="D114" s="48" t="str">
        <f>IF(D$29="","",D$29)</f>
        <v/>
      </c>
      <c r="E114" s="47">
        <f>IF(E$29="","",E$29)</f>
        <v>1</v>
      </c>
      <c r="F114" s="79"/>
      <c r="G114" s="75"/>
      <c r="H114" s="75">
        <f>IFERROR(MIN(1,MAX(0,(EOMONTH(H$4,0)+1-$C114)/(EDATE($C114,$E114)-$C114)))*$F114/12+IF(AND(H$4&gt;=EOMONTH($C114,0),H$4&lt;=EOMONTH($C114,11)),$G114/12,0),0)</f>
        <v>0</v>
      </c>
      <c r="I114" s="75">
        <f t="shared" si="208"/>
        <v>0</v>
      </c>
      <c r="J114" s="75">
        <f t="shared" si="208"/>
        <v>0</v>
      </c>
      <c r="K114" s="75">
        <f t="shared" si="208"/>
        <v>0</v>
      </c>
      <c r="L114" s="75">
        <f t="shared" si="208"/>
        <v>0</v>
      </c>
      <c r="M114" s="75">
        <f t="shared" si="208"/>
        <v>0</v>
      </c>
      <c r="N114" s="75">
        <f t="shared" si="208"/>
        <v>0</v>
      </c>
      <c r="O114" s="75">
        <f t="shared" si="208"/>
        <v>0</v>
      </c>
      <c r="P114" s="75">
        <f t="shared" si="208"/>
        <v>0</v>
      </c>
      <c r="Q114" s="75">
        <f t="shared" si="208"/>
        <v>0</v>
      </c>
      <c r="R114" s="75">
        <f t="shared" si="208"/>
        <v>0</v>
      </c>
      <c r="S114" s="75">
        <f t="shared" si="208"/>
        <v>0</v>
      </c>
      <c r="T114" s="75">
        <f t="shared" si="208"/>
        <v>0</v>
      </c>
      <c r="U114" s="75">
        <f t="shared" si="208"/>
        <v>0</v>
      </c>
      <c r="V114" s="75">
        <f t="shared" si="208"/>
        <v>0</v>
      </c>
      <c r="W114" s="75">
        <f t="shared" si="208"/>
        <v>0</v>
      </c>
      <c r="X114" s="75">
        <f t="shared" si="208"/>
        <v>0</v>
      </c>
      <c r="Y114" s="75">
        <f t="shared" si="208"/>
        <v>0</v>
      </c>
      <c r="Z114" s="75">
        <f t="shared" si="208"/>
        <v>0</v>
      </c>
      <c r="AA114" s="75">
        <f t="shared" si="208"/>
        <v>0</v>
      </c>
      <c r="AB114" s="75">
        <f t="shared" si="208"/>
        <v>0</v>
      </c>
      <c r="AC114" s="75">
        <f t="shared" si="208"/>
        <v>0</v>
      </c>
      <c r="AD114" s="75">
        <f t="shared" si="208"/>
        <v>0</v>
      </c>
      <c r="AE114" s="75">
        <f t="shared" si="208"/>
        <v>0</v>
      </c>
      <c r="AF114" s="75">
        <f t="shared" si="208"/>
        <v>0</v>
      </c>
      <c r="AG114" s="75">
        <f t="shared" si="208"/>
        <v>0</v>
      </c>
      <c r="AH114" s="75">
        <f t="shared" si="208"/>
        <v>0</v>
      </c>
      <c r="AI114" s="75">
        <f t="shared" si="208"/>
        <v>0</v>
      </c>
      <c r="AJ114" s="75">
        <f t="shared" si="208"/>
        <v>0</v>
      </c>
      <c r="AK114" s="75">
        <f t="shared" si="208"/>
        <v>0</v>
      </c>
      <c r="AL114" s="75">
        <f t="shared" si="208"/>
        <v>0</v>
      </c>
      <c r="AM114" s="75">
        <f t="shared" si="208"/>
        <v>0</v>
      </c>
      <c r="AN114" s="75">
        <f t="shared" si="208"/>
        <v>0</v>
      </c>
      <c r="AO114" s="75">
        <f t="shared" si="208"/>
        <v>0</v>
      </c>
      <c r="AP114" s="75">
        <f t="shared" si="208"/>
        <v>0</v>
      </c>
      <c r="AQ114" s="75">
        <f t="shared" si="208"/>
        <v>0</v>
      </c>
      <c r="AR114" s="75">
        <f t="shared" si="208"/>
        <v>0</v>
      </c>
      <c r="AS114" s="75">
        <f t="shared" si="208"/>
        <v>0</v>
      </c>
      <c r="AT114" s="75">
        <f t="shared" si="208"/>
        <v>0</v>
      </c>
      <c r="AU114" s="75">
        <f t="shared" si="208"/>
        <v>0</v>
      </c>
      <c r="AV114" s="75">
        <f t="shared" si="208"/>
        <v>0</v>
      </c>
      <c r="AW114" s="75">
        <f t="shared" si="208"/>
        <v>0</v>
      </c>
      <c r="AX114" s="75">
        <f t="shared" si="208"/>
        <v>0</v>
      </c>
      <c r="AY114" s="75">
        <f t="shared" si="208"/>
        <v>0</v>
      </c>
      <c r="AZ114" s="75">
        <f t="shared" si="208"/>
        <v>0</v>
      </c>
      <c r="BA114" s="75">
        <f t="shared" si="208"/>
        <v>0</v>
      </c>
      <c r="BB114" s="75">
        <f t="shared" si="208"/>
        <v>0</v>
      </c>
      <c r="BC114" s="75">
        <f t="shared" si="208"/>
        <v>0</v>
      </c>
      <c r="BD114" s="61"/>
      <c r="BE114" s="79">
        <f t="shared" si="159"/>
        <v>0</v>
      </c>
      <c r="BF114" s="79">
        <f t="shared" si="157"/>
        <v>0</v>
      </c>
      <c r="BG114" s="79">
        <f t="shared" si="157"/>
        <v>0</v>
      </c>
      <c r="BH114" s="79">
        <f t="shared" si="157"/>
        <v>0</v>
      </c>
    </row>
    <row r="115" spans="2:60" ht="21" customHeight="1" x14ac:dyDescent="0.3">
      <c r="B115" s="60" t="str">
        <f>$B$30</f>
        <v>Multi-discliplinary Team Meetings</v>
      </c>
      <c r="C115" s="48">
        <f>IF(C$30="","",C$30)</f>
        <v>43922</v>
      </c>
      <c r="D115" s="48" t="str">
        <f>IF(D$30="","",D$30)</f>
        <v/>
      </c>
      <c r="E115" s="47">
        <f>IF(E$30="","",E$30)</f>
        <v>6</v>
      </c>
      <c r="F115" s="79">
        <f>MDT!C33</f>
        <v>720</v>
      </c>
      <c r="G115" s="75"/>
      <c r="H115" s="75">
        <f>IFERROR(MIN(1,MAX(0,(EOMONTH(H$4,0)+1-$C115)/(EDATE($C115,$E115)-$C115)))*$F115/12+IF(AND(H$4&gt;=EOMONTH($C115,0),H$4&lt;=EOMONTH($C115,11)),$G115/12,0),0)</f>
        <v>0</v>
      </c>
      <c r="I115" s="75">
        <f t="shared" si="208"/>
        <v>0</v>
      </c>
      <c r="J115" s="75">
        <f t="shared" si="208"/>
        <v>0</v>
      </c>
      <c r="K115" s="75">
        <f t="shared" si="208"/>
        <v>0</v>
      </c>
      <c r="L115" s="75">
        <f t="shared" si="208"/>
        <v>0</v>
      </c>
      <c r="M115" s="75">
        <f t="shared" si="208"/>
        <v>0</v>
      </c>
      <c r="N115" s="75">
        <f t="shared" si="208"/>
        <v>0</v>
      </c>
      <c r="O115" s="75">
        <f t="shared" si="208"/>
        <v>0</v>
      </c>
      <c r="P115" s="75">
        <f t="shared" si="208"/>
        <v>0</v>
      </c>
      <c r="Q115" s="75">
        <f t="shared" si="208"/>
        <v>0</v>
      </c>
      <c r="R115" s="75">
        <f t="shared" si="208"/>
        <v>0</v>
      </c>
      <c r="S115" s="75">
        <f t="shared" si="208"/>
        <v>0</v>
      </c>
      <c r="T115" s="75">
        <f t="shared" si="208"/>
        <v>9.8360655737704921</v>
      </c>
      <c r="U115" s="75">
        <f t="shared" si="208"/>
        <v>20</v>
      </c>
      <c r="V115" s="75">
        <f t="shared" si="208"/>
        <v>29.836065573770494</v>
      </c>
      <c r="W115" s="75">
        <f t="shared" si="208"/>
        <v>40</v>
      </c>
      <c r="X115" s="75">
        <f t="shared" si="208"/>
        <v>50.16393442622951</v>
      </c>
      <c r="Y115" s="75">
        <f t="shared" si="208"/>
        <v>60</v>
      </c>
      <c r="Z115" s="75">
        <f t="shared" si="208"/>
        <v>60</v>
      </c>
      <c r="AA115" s="75">
        <f t="shared" si="208"/>
        <v>60</v>
      </c>
      <c r="AB115" s="75">
        <f t="shared" si="208"/>
        <v>60</v>
      </c>
      <c r="AC115" s="75">
        <f t="shared" si="208"/>
        <v>60</v>
      </c>
      <c r="AD115" s="75">
        <f t="shared" si="208"/>
        <v>60</v>
      </c>
      <c r="AE115" s="75">
        <f t="shared" si="208"/>
        <v>60</v>
      </c>
      <c r="AF115" s="75">
        <f t="shared" si="208"/>
        <v>60</v>
      </c>
      <c r="AG115" s="75">
        <f t="shared" si="208"/>
        <v>60</v>
      </c>
      <c r="AH115" s="75">
        <f t="shared" si="208"/>
        <v>60</v>
      </c>
      <c r="AI115" s="75">
        <f t="shared" si="208"/>
        <v>60</v>
      </c>
      <c r="AJ115" s="75">
        <f t="shared" si="208"/>
        <v>60</v>
      </c>
      <c r="AK115" s="75">
        <f t="shared" si="208"/>
        <v>60</v>
      </c>
      <c r="AL115" s="75">
        <f t="shared" si="208"/>
        <v>60</v>
      </c>
      <c r="AM115" s="75">
        <f t="shared" si="208"/>
        <v>60</v>
      </c>
      <c r="AN115" s="75">
        <f t="shared" si="208"/>
        <v>60</v>
      </c>
      <c r="AO115" s="75">
        <f t="shared" si="208"/>
        <v>60</v>
      </c>
      <c r="AP115" s="75">
        <f t="shared" si="208"/>
        <v>60</v>
      </c>
      <c r="AQ115" s="75">
        <f t="shared" si="208"/>
        <v>60</v>
      </c>
      <c r="AR115" s="75">
        <f t="shared" si="208"/>
        <v>60</v>
      </c>
      <c r="AS115" s="75">
        <f t="shared" si="208"/>
        <v>60</v>
      </c>
      <c r="AT115" s="75">
        <f t="shared" si="208"/>
        <v>60</v>
      </c>
      <c r="AU115" s="75">
        <f t="shared" si="208"/>
        <v>60</v>
      </c>
      <c r="AV115" s="75">
        <f t="shared" si="208"/>
        <v>60</v>
      </c>
      <c r="AW115" s="75">
        <f t="shared" si="208"/>
        <v>60</v>
      </c>
      <c r="AX115" s="75">
        <f t="shared" si="208"/>
        <v>60</v>
      </c>
      <c r="AY115" s="75">
        <f t="shared" si="208"/>
        <v>60</v>
      </c>
      <c r="AZ115" s="75">
        <f t="shared" si="208"/>
        <v>60</v>
      </c>
      <c r="BA115" s="75">
        <f t="shared" si="208"/>
        <v>60</v>
      </c>
      <c r="BB115" s="75">
        <f t="shared" si="208"/>
        <v>60</v>
      </c>
      <c r="BC115" s="75">
        <f t="shared" si="208"/>
        <v>60</v>
      </c>
      <c r="BD115" s="61"/>
      <c r="BE115" s="79">
        <f t="shared" si="159"/>
        <v>0</v>
      </c>
      <c r="BF115" s="79">
        <f t="shared" si="157"/>
        <v>569.8360655737705</v>
      </c>
      <c r="BG115" s="79">
        <f t="shared" si="157"/>
        <v>720</v>
      </c>
      <c r="BH115" s="79">
        <f t="shared" si="157"/>
        <v>720</v>
      </c>
    </row>
    <row r="116" spans="2:60" ht="21" customHeight="1" x14ac:dyDescent="0.3">
      <c r="B116" s="60" t="str">
        <f>$B$31</f>
        <v>Huddles</v>
      </c>
      <c r="C116" s="48">
        <f>IF(C$31="","",C$31)</f>
        <v>43922</v>
      </c>
      <c r="D116" s="48" t="str">
        <f>IF(D$31="","",D$31)</f>
        <v/>
      </c>
      <c r="E116" s="47">
        <f>IF(E$31="","",E$31)</f>
        <v>1</v>
      </c>
      <c r="F116" s="79">
        <f>Huddles!C37</f>
        <v>19344.000000000004</v>
      </c>
      <c r="G116" s="75"/>
      <c r="H116" s="75">
        <f>IFERROR(MIN(1,MAX(0,(EOMONTH(H$4,0)+1-$C116)/(EDATE($C116,$E116)-$C116)))*$F116/12+IF(AND(H$4&gt;=EOMONTH($C116,0),H$4&lt;=EOMONTH($C116,11)),$G116/12,0),0)</f>
        <v>0</v>
      </c>
      <c r="I116" s="75">
        <f t="shared" si="208"/>
        <v>0</v>
      </c>
      <c r="J116" s="75">
        <f t="shared" si="208"/>
        <v>0</v>
      </c>
      <c r="K116" s="75">
        <f t="shared" si="208"/>
        <v>0</v>
      </c>
      <c r="L116" s="75">
        <f t="shared" si="208"/>
        <v>0</v>
      </c>
      <c r="M116" s="75">
        <f t="shared" si="208"/>
        <v>0</v>
      </c>
      <c r="N116" s="75">
        <f t="shared" si="208"/>
        <v>0</v>
      </c>
      <c r="O116" s="75">
        <f t="shared" si="208"/>
        <v>0</v>
      </c>
      <c r="P116" s="75">
        <f t="shared" si="208"/>
        <v>0</v>
      </c>
      <c r="Q116" s="75">
        <f t="shared" si="208"/>
        <v>0</v>
      </c>
      <c r="R116" s="75">
        <f t="shared" si="208"/>
        <v>0</v>
      </c>
      <c r="S116" s="75">
        <f t="shared" si="208"/>
        <v>0</v>
      </c>
      <c r="T116" s="75">
        <f t="shared" si="208"/>
        <v>1612.0000000000002</v>
      </c>
      <c r="U116" s="75">
        <f t="shared" si="208"/>
        <v>1612.0000000000002</v>
      </c>
      <c r="V116" s="75">
        <f t="shared" si="208"/>
        <v>1612.0000000000002</v>
      </c>
      <c r="W116" s="75">
        <f t="shared" si="208"/>
        <v>1612.0000000000002</v>
      </c>
      <c r="X116" s="75">
        <f t="shared" si="208"/>
        <v>1612.0000000000002</v>
      </c>
      <c r="Y116" s="75">
        <f t="shared" si="208"/>
        <v>1612.0000000000002</v>
      </c>
      <c r="Z116" s="75">
        <f t="shared" si="208"/>
        <v>1612.0000000000002</v>
      </c>
      <c r="AA116" s="75">
        <f t="shared" si="208"/>
        <v>1612.0000000000002</v>
      </c>
      <c r="AB116" s="75">
        <f t="shared" si="208"/>
        <v>1612.0000000000002</v>
      </c>
      <c r="AC116" s="75">
        <f t="shared" si="208"/>
        <v>1612.0000000000002</v>
      </c>
      <c r="AD116" s="75">
        <f t="shared" si="208"/>
        <v>1612.0000000000002</v>
      </c>
      <c r="AE116" s="75">
        <f t="shared" si="208"/>
        <v>1612.0000000000002</v>
      </c>
      <c r="AF116" s="75">
        <f t="shared" si="208"/>
        <v>1612.0000000000002</v>
      </c>
      <c r="AG116" s="75">
        <f t="shared" si="208"/>
        <v>1612.0000000000002</v>
      </c>
      <c r="AH116" s="75">
        <f t="shared" si="208"/>
        <v>1612.0000000000002</v>
      </c>
      <c r="AI116" s="75">
        <f t="shared" si="208"/>
        <v>1612.0000000000002</v>
      </c>
      <c r="AJ116" s="75">
        <f t="shared" si="208"/>
        <v>1612.0000000000002</v>
      </c>
      <c r="AK116" s="75">
        <f t="shared" si="208"/>
        <v>1612.0000000000002</v>
      </c>
      <c r="AL116" s="75">
        <f t="shared" si="208"/>
        <v>1612.0000000000002</v>
      </c>
      <c r="AM116" s="75">
        <f t="shared" si="208"/>
        <v>1612.0000000000002</v>
      </c>
      <c r="AN116" s="75">
        <f t="shared" si="208"/>
        <v>1612.0000000000002</v>
      </c>
      <c r="AO116" s="75">
        <f t="shared" si="208"/>
        <v>1612.0000000000002</v>
      </c>
      <c r="AP116" s="75">
        <f t="shared" si="208"/>
        <v>1612.0000000000002</v>
      </c>
      <c r="AQ116" s="75">
        <f t="shared" si="208"/>
        <v>1612.0000000000002</v>
      </c>
      <c r="AR116" s="75">
        <f t="shared" si="208"/>
        <v>1612.0000000000002</v>
      </c>
      <c r="AS116" s="75">
        <f t="shared" si="208"/>
        <v>1612.0000000000002</v>
      </c>
      <c r="AT116" s="75">
        <f t="shared" si="208"/>
        <v>1612.0000000000002</v>
      </c>
      <c r="AU116" s="75">
        <f t="shared" si="208"/>
        <v>1612.0000000000002</v>
      </c>
      <c r="AV116" s="75">
        <f t="shared" si="208"/>
        <v>1612.0000000000002</v>
      </c>
      <c r="AW116" s="75">
        <f t="shared" si="208"/>
        <v>1612.0000000000002</v>
      </c>
      <c r="AX116" s="75">
        <f t="shared" si="208"/>
        <v>1612.0000000000002</v>
      </c>
      <c r="AY116" s="75">
        <f t="shared" si="208"/>
        <v>1612.0000000000002</v>
      </c>
      <c r="AZ116" s="75">
        <f t="shared" si="208"/>
        <v>1612.0000000000002</v>
      </c>
      <c r="BA116" s="75">
        <f t="shared" si="208"/>
        <v>1612.0000000000002</v>
      </c>
      <c r="BB116" s="75">
        <f t="shared" si="208"/>
        <v>1612.0000000000002</v>
      </c>
      <c r="BC116" s="75">
        <f t="shared" si="208"/>
        <v>1612.0000000000002</v>
      </c>
      <c r="BD116" s="61"/>
      <c r="BE116" s="79">
        <f t="shared" si="159"/>
        <v>0</v>
      </c>
      <c r="BF116" s="79">
        <f t="shared" si="157"/>
        <v>19344.000000000004</v>
      </c>
      <c r="BG116" s="79">
        <f t="shared" si="157"/>
        <v>19344.000000000004</v>
      </c>
      <c r="BH116" s="79">
        <f t="shared" si="157"/>
        <v>19344.000000000004</v>
      </c>
    </row>
    <row r="117" spans="2:60" ht="21" customHeight="1" x14ac:dyDescent="0.3">
      <c r="B117" s="60" t="str">
        <f>$B$32</f>
        <v>Health Care Assistants</v>
      </c>
      <c r="C117" s="48">
        <f>IF(C$32="","",C$32)</f>
        <v>43922</v>
      </c>
      <c r="D117" s="48" t="str">
        <f>IF(D$32="","",D$32)</f>
        <v/>
      </c>
      <c r="E117" s="47">
        <f>IF(E$32="","",E$32)</f>
        <v>6</v>
      </c>
      <c r="F117" s="79">
        <f>HCA!C36</f>
        <v>-92160</v>
      </c>
      <c r="G117" s="75"/>
      <c r="H117" s="75">
        <f>IFERROR(MIN(1,MAX(0,(EOMONTH(H$4,0)+1-$C117)/(EDATE($C117,$E117)-$C117)))*$F117/12+IF(AND(H$4&gt;=EOMONTH($C117,0),H$4&lt;=EOMONTH($C117,11)),$G117/12,0),0)</f>
        <v>0</v>
      </c>
      <c r="I117" s="75">
        <f t="shared" si="208"/>
        <v>0</v>
      </c>
      <c r="J117" s="75">
        <f t="shared" si="208"/>
        <v>0</v>
      </c>
      <c r="K117" s="75">
        <f t="shared" si="208"/>
        <v>0</v>
      </c>
      <c r="L117" s="75">
        <f t="shared" si="208"/>
        <v>0</v>
      </c>
      <c r="M117" s="75">
        <f t="shared" si="208"/>
        <v>0</v>
      </c>
      <c r="N117" s="75">
        <f t="shared" si="208"/>
        <v>0</v>
      </c>
      <c r="O117" s="75">
        <f t="shared" si="208"/>
        <v>0</v>
      </c>
      <c r="P117" s="75">
        <f t="shared" si="208"/>
        <v>0</v>
      </c>
      <c r="Q117" s="75">
        <f t="shared" si="208"/>
        <v>0</v>
      </c>
      <c r="R117" s="75">
        <f t="shared" si="208"/>
        <v>0</v>
      </c>
      <c r="S117" s="75">
        <f t="shared" si="208"/>
        <v>0</v>
      </c>
      <c r="T117" s="75">
        <f t="shared" si="208"/>
        <v>-1259.016393442623</v>
      </c>
      <c r="U117" s="75">
        <f t="shared" si="208"/>
        <v>-2560</v>
      </c>
      <c r="V117" s="75">
        <f t="shared" si="208"/>
        <v>-3819.0163934426232</v>
      </c>
      <c r="W117" s="75">
        <f t="shared" si="208"/>
        <v>-5120</v>
      </c>
      <c r="X117" s="75">
        <f t="shared" si="208"/>
        <v>-6420.9836065573772</v>
      </c>
      <c r="Y117" s="75">
        <f t="shared" si="208"/>
        <v>-7680</v>
      </c>
      <c r="Z117" s="75">
        <f t="shared" si="208"/>
        <v>-7680</v>
      </c>
      <c r="AA117" s="75">
        <f t="shared" si="208"/>
        <v>-7680</v>
      </c>
      <c r="AB117" s="75">
        <f t="shared" si="208"/>
        <v>-7680</v>
      </c>
      <c r="AC117" s="75">
        <f t="shared" si="208"/>
        <v>-7680</v>
      </c>
      <c r="AD117" s="75">
        <f t="shared" si="208"/>
        <v>-7680</v>
      </c>
      <c r="AE117" s="75">
        <f t="shared" si="208"/>
        <v>-7680</v>
      </c>
      <c r="AF117" s="75">
        <f t="shared" si="208"/>
        <v>-7680</v>
      </c>
      <c r="AG117" s="75">
        <f t="shared" si="208"/>
        <v>-7680</v>
      </c>
      <c r="AH117" s="75">
        <f t="shared" si="208"/>
        <v>-7680</v>
      </c>
      <c r="AI117" s="75">
        <f t="shared" si="208"/>
        <v>-7680</v>
      </c>
      <c r="AJ117" s="75">
        <f t="shared" si="208"/>
        <v>-7680</v>
      </c>
      <c r="AK117" s="75">
        <f t="shared" si="208"/>
        <v>-7680</v>
      </c>
      <c r="AL117" s="75">
        <f t="shared" si="208"/>
        <v>-7680</v>
      </c>
      <c r="AM117" s="75">
        <f t="shared" si="208"/>
        <v>-7680</v>
      </c>
      <c r="AN117" s="75">
        <f t="shared" si="208"/>
        <v>-7680</v>
      </c>
      <c r="AO117" s="75">
        <f t="shared" si="208"/>
        <v>-7680</v>
      </c>
      <c r="AP117" s="75">
        <f t="shared" si="208"/>
        <v>-7680</v>
      </c>
      <c r="AQ117" s="75">
        <f t="shared" si="208"/>
        <v>-7680</v>
      </c>
      <c r="AR117" s="75">
        <f t="shared" si="208"/>
        <v>-7680</v>
      </c>
      <c r="AS117" s="75">
        <f t="shared" si="208"/>
        <v>-7680</v>
      </c>
      <c r="AT117" s="75">
        <f t="shared" si="208"/>
        <v>-7680</v>
      </c>
      <c r="AU117" s="75">
        <f t="shared" si="208"/>
        <v>-7680</v>
      </c>
      <c r="AV117" s="75">
        <f t="shared" si="208"/>
        <v>-7680</v>
      </c>
      <c r="AW117" s="75">
        <f t="shared" si="208"/>
        <v>-7680</v>
      </c>
      <c r="AX117" s="75">
        <f t="shared" si="208"/>
        <v>-7680</v>
      </c>
      <c r="AY117" s="75">
        <f t="shared" si="208"/>
        <v>-7680</v>
      </c>
      <c r="AZ117" s="75">
        <f t="shared" si="208"/>
        <v>-7680</v>
      </c>
      <c r="BA117" s="75">
        <f t="shared" si="208"/>
        <v>-7680</v>
      </c>
      <c r="BB117" s="75">
        <f t="shared" si="208"/>
        <v>-7680</v>
      </c>
      <c r="BC117" s="75">
        <f t="shared" si="208"/>
        <v>-7680</v>
      </c>
      <c r="BD117" s="61"/>
      <c r="BE117" s="79">
        <f t="shared" si="159"/>
        <v>0</v>
      </c>
      <c r="BF117" s="79">
        <f t="shared" si="157"/>
        <v>-72939.016393442624</v>
      </c>
      <c r="BG117" s="79">
        <f t="shared" si="157"/>
        <v>-92160</v>
      </c>
      <c r="BH117" s="79">
        <f t="shared" si="157"/>
        <v>-92160</v>
      </c>
    </row>
    <row r="118" spans="2:60" ht="21" customHeight="1" x14ac:dyDescent="0.3">
      <c r="B118" s="60" t="str">
        <f>$B$33</f>
        <v>Patient portals</v>
      </c>
      <c r="C118" s="48">
        <f>IF(C$33="","",C$33)</f>
        <v>43922</v>
      </c>
      <c r="D118" s="48" t="str">
        <f>IF(D$33="","",D$33)</f>
        <v/>
      </c>
      <c r="E118" s="47">
        <f>IF(E$33="","",E$33)</f>
        <v>36</v>
      </c>
      <c r="F118" s="79">
        <f>'Patient Portal'!D15</f>
        <v>-15069.600000000004</v>
      </c>
      <c r="G118" s="75"/>
      <c r="H118" s="75">
        <f>IFERROR(MIN(1,MAX(0,(EOMONTH(H$4,0)+1-$C118)/(EDATE($C118,$E118)-$C118)))*$F118/12+IF(AND(H$4&gt;=EOMONTH($C118,0),H$4&lt;=EOMONTH($C118,11)),$G118/12,0),0)</f>
        <v>0</v>
      </c>
      <c r="I118" s="75">
        <f t="shared" si="208"/>
        <v>0</v>
      </c>
      <c r="J118" s="75">
        <f t="shared" si="208"/>
        <v>0</v>
      </c>
      <c r="K118" s="75">
        <f t="shared" si="208"/>
        <v>0</v>
      </c>
      <c r="L118" s="75">
        <f t="shared" si="208"/>
        <v>0</v>
      </c>
      <c r="M118" s="75">
        <f t="shared" si="208"/>
        <v>0</v>
      </c>
      <c r="N118" s="75">
        <f t="shared" si="208"/>
        <v>0</v>
      </c>
      <c r="O118" s="75">
        <f t="shared" si="208"/>
        <v>0</v>
      </c>
      <c r="P118" s="75">
        <f t="shared" si="208"/>
        <v>0</v>
      </c>
      <c r="Q118" s="75">
        <f t="shared" si="208"/>
        <v>0</v>
      </c>
      <c r="R118" s="75">
        <f t="shared" si="208"/>
        <v>0</v>
      </c>
      <c r="S118" s="75">
        <f t="shared" si="208"/>
        <v>0</v>
      </c>
      <c r="T118" s="75">
        <f t="shared" si="208"/>
        <v>-34.405479452054799</v>
      </c>
      <c r="U118" s="75">
        <f t="shared" si="208"/>
        <v>-69.957808219178105</v>
      </c>
      <c r="V118" s="75">
        <f t="shared" si="208"/>
        <v>-104.36328767123291</v>
      </c>
      <c r="W118" s="75">
        <f t="shared" si="208"/>
        <v>-139.91561643835621</v>
      </c>
      <c r="X118" s="75">
        <f t="shared" si="208"/>
        <v>-175.46794520547951</v>
      </c>
      <c r="Y118" s="75">
        <f t="shared" si="208"/>
        <v>-209.87342465753431</v>
      </c>
      <c r="Z118" s="75">
        <f t="shared" si="208"/>
        <v>-245.42575342465761</v>
      </c>
      <c r="AA118" s="75">
        <f t="shared" si="208"/>
        <v>-279.83123287671242</v>
      </c>
      <c r="AB118" s="75">
        <f t="shared" si="208"/>
        <v>-315.38356164383566</v>
      </c>
      <c r="AC118" s="75">
        <f t="shared" ref="AC118:BC118" si="209">IFERROR(MIN(1,MAX(0,(EOMONTH(AC$4,0)+1-$C118)/(EDATE($C118,$E118)-$C118)))*$F118/12+IF(AND(AC$4&gt;=EOMONTH($C118,0),AC$4&lt;=EOMONTH($C118,11)),$G118/12,0),0)</f>
        <v>-350.93589041095902</v>
      </c>
      <c r="AD118" s="75">
        <f t="shared" si="209"/>
        <v>-383.04767123287684</v>
      </c>
      <c r="AE118" s="75">
        <f t="shared" si="209"/>
        <v>-418.60000000000008</v>
      </c>
      <c r="AF118" s="75">
        <f t="shared" si="209"/>
        <v>-453.00547945205489</v>
      </c>
      <c r="AG118" s="75">
        <f t="shared" si="209"/>
        <v>-488.55780821917824</v>
      </c>
      <c r="AH118" s="75">
        <f t="shared" si="209"/>
        <v>-522.96328767123305</v>
      </c>
      <c r="AI118" s="75">
        <f t="shared" si="209"/>
        <v>-558.51561643835623</v>
      </c>
      <c r="AJ118" s="75">
        <f t="shared" si="209"/>
        <v>-594.06794520547965</v>
      </c>
      <c r="AK118" s="75">
        <f t="shared" si="209"/>
        <v>-628.47342465753445</v>
      </c>
      <c r="AL118" s="75">
        <f t="shared" si="209"/>
        <v>-664.02575342465775</v>
      </c>
      <c r="AM118" s="75">
        <f t="shared" si="209"/>
        <v>-698.43123287671267</v>
      </c>
      <c r="AN118" s="75">
        <f t="shared" si="209"/>
        <v>-733.98356164383574</v>
      </c>
      <c r="AO118" s="75">
        <f t="shared" si="209"/>
        <v>-769.53589041095904</v>
      </c>
      <c r="AP118" s="75">
        <f t="shared" si="209"/>
        <v>-801.64767123287709</v>
      </c>
      <c r="AQ118" s="75">
        <f t="shared" si="209"/>
        <v>-837.20000000000016</v>
      </c>
      <c r="AR118" s="75">
        <f t="shared" si="209"/>
        <v>-871.60547945205496</v>
      </c>
      <c r="AS118" s="75">
        <f t="shared" si="209"/>
        <v>-907.15780821917826</v>
      </c>
      <c r="AT118" s="75">
        <f t="shared" si="209"/>
        <v>-941.56328767123307</v>
      </c>
      <c r="AU118" s="75">
        <f t="shared" si="209"/>
        <v>-977.11561643835648</v>
      </c>
      <c r="AV118" s="75">
        <f t="shared" si="209"/>
        <v>-1012.6679452054799</v>
      </c>
      <c r="AW118" s="75">
        <f t="shared" si="209"/>
        <v>-1047.0734246575346</v>
      </c>
      <c r="AX118" s="75">
        <f t="shared" si="209"/>
        <v>-1082.6257534246577</v>
      </c>
      <c r="AY118" s="75">
        <f t="shared" si="209"/>
        <v>-1117.0312328767125</v>
      </c>
      <c r="AZ118" s="75">
        <f t="shared" si="209"/>
        <v>-1152.583561643836</v>
      </c>
      <c r="BA118" s="75">
        <f t="shared" si="209"/>
        <v>-1188.1358904109593</v>
      </c>
      <c r="BB118" s="75">
        <f t="shared" si="209"/>
        <v>-1220.2476712328769</v>
      </c>
      <c r="BC118" s="75">
        <f t="shared" si="209"/>
        <v>-1255.8000000000004</v>
      </c>
      <c r="BD118" s="61"/>
      <c r="BE118" s="79">
        <f t="shared" si="159"/>
        <v>0</v>
      </c>
      <c r="BF118" s="79">
        <f t="shared" si="157"/>
        <v>-2727.2076712328776</v>
      </c>
      <c r="BG118" s="79">
        <f t="shared" si="157"/>
        <v>-7750.4076712328788</v>
      </c>
      <c r="BH118" s="79">
        <f t="shared" si="157"/>
        <v>-12773.60767123288</v>
      </c>
    </row>
    <row r="119" spans="2:60" ht="21" customHeight="1" x14ac:dyDescent="0.3">
      <c r="B119" s="60" t="str">
        <f>$B$34</f>
        <v>Other (staff release for training and implementation activity)</v>
      </c>
      <c r="C119" s="48">
        <f>IF(C$34="","",C$34)</f>
        <v>43922</v>
      </c>
      <c r="D119" s="48">
        <f>IF(D$34="","",D$34)</f>
        <v>44651</v>
      </c>
      <c r="E119" s="47">
        <f>IF(E$34="","",E$34)</f>
        <v>1</v>
      </c>
      <c r="F119" s="79">
        <f>Other!D22*60</f>
        <v>744</v>
      </c>
      <c r="G119" s="75">
        <f>Other!D11*60</f>
        <v>0</v>
      </c>
      <c r="H119" s="75">
        <f>IFERROR(MIN(1,MAX(0,(EOMONTH(H$4,0)+1-$C119)/(EDATE($C119,$E119)-$C119)))*$F119/12+IF(AND(H$4&gt;=EOMONTH($C119,0),H$4&lt;=EOMONTH($C119,11)),$G119/12,0),0)</f>
        <v>0</v>
      </c>
      <c r="I119" s="75">
        <f t="shared" ref="I119:BC119" si="210">IFERROR(MIN(1,MAX(0,(EOMONTH(I$4,0)+1-$C119)/(EDATE($C119,$E119)-$C119)))*$F119/12+IF(AND(I$4&gt;=EOMONTH($C119,0),I$4&lt;=EOMONTH($C119,11)),$G119/12,0),0)</f>
        <v>0</v>
      </c>
      <c r="J119" s="75">
        <f t="shared" si="210"/>
        <v>0</v>
      </c>
      <c r="K119" s="75">
        <f t="shared" si="210"/>
        <v>0</v>
      </c>
      <c r="L119" s="75">
        <f t="shared" si="210"/>
        <v>0</v>
      </c>
      <c r="M119" s="75">
        <f t="shared" si="210"/>
        <v>0</v>
      </c>
      <c r="N119" s="75">
        <f t="shared" si="210"/>
        <v>0</v>
      </c>
      <c r="O119" s="75">
        <f t="shared" si="210"/>
        <v>0</v>
      </c>
      <c r="P119" s="75">
        <f t="shared" si="210"/>
        <v>0</v>
      </c>
      <c r="Q119" s="75">
        <f t="shared" si="210"/>
        <v>0</v>
      </c>
      <c r="R119" s="75">
        <f t="shared" si="210"/>
        <v>0</v>
      </c>
      <c r="S119" s="75">
        <f t="shared" si="210"/>
        <v>0</v>
      </c>
      <c r="T119" s="75">
        <f t="shared" si="210"/>
        <v>62</v>
      </c>
      <c r="U119" s="75">
        <f t="shared" si="210"/>
        <v>62</v>
      </c>
      <c r="V119" s="75">
        <f t="shared" si="210"/>
        <v>62</v>
      </c>
      <c r="W119" s="75">
        <f t="shared" si="210"/>
        <v>62</v>
      </c>
      <c r="X119" s="75">
        <f t="shared" si="210"/>
        <v>62</v>
      </c>
      <c r="Y119" s="75">
        <f t="shared" si="210"/>
        <v>62</v>
      </c>
      <c r="Z119" s="75">
        <f t="shared" si="210"/>
        <v>62</v>
      </c>
      <c r="AA119" s="75">
        <f t="shared" si="210"/>
        <v>62</v>
      </c>
      <c r="AB119" s="75">
        <f t="shared" si="210"/>
        <v>62</v>
      </c>
      <c r="AC119" s="75">
        <f t="shared" si="210"/>
        <v>62</v>
      </c>
      <c r="AD119" s="75">
        <f t="shared" si="210"/>
        <v>62</v>
      </c>
      <c r="AE119" s="75">
        <f t="shared" si="210"/>
        <v>62</v>
      </c>
      <c r="AF119" s="75">
        <f t="shared" si="210"/>
        <v>62</v>
      </c>
      <c r="AG119" s="75">
        <f t="shared" si="210"/>
        <v>62</v>
      </c>
      <c r="AH119" s="75">
        <f t="shared" si="210"/>
        <v>62</v>
      </c>
      <c r="AI119" s="75">
        <f t="shared" si="210"/>
        <v>62</v>
      </c>
      <c r="AJ119" s="75">
        <f t="shared" si="210"/>
        <v>62</v>
      </c>
      <c r="AK119" s="75">
        <f t="shared" si="210"/>
        <v>62</v>
      </c>
      <c r="AL119" s="75">
        <f t="shared" si="210"/>
        <v>62</v>
      </c>
      <c r="AM119" s="75">
        <f t="shared" si="210"/>
        <v>62</v>
      </c>
      <c r="AN119" s="75">
        <f t="shared" si="210"/>
        <v>62</v>
      </c>
      <c r="AO119" s="75">
        <f t="shared" si="210"/>
        <v>62</v>
      </c>
      <c r="AP119" s="75">
        <f t="shared" si="210"/>
        <v>62</v>
      </c>
      <c r="AQ119" s="75">
        <f t="shared" si="210"/>
        <v>62</v>
      </c>
      <c r="AR119" s="75">
        <f t="shared" si="210"/>
        <v>62</v>
      </c>
      <c r="AS119" s="75">
        <f t="shared" si="210"/>
        <v>62</v>
      </c>
      <c r="AT119" s="75">
        <f t="shared" si="210"/>
        <v>62</v>
      </c>
      <c r="AU119" s="75">
        <f t="shared" si="210"/>
        <v>62</v>
      </c>
      <c r="AV119" s="75">
        <f t="shared" si="210"/>
        <v>62</v>
      </c>
      <c r="AW119" s="75">
        <f t="shared" si="210"/>
        <v>62</v>
      </c>
      <c r="AX119" s="75">
        <f t="shared" si="210"/>
        <v>62</v>
      </c>
      <c r="AY119" s="75">
        <f t="shared" si="210"/>
        <v>62</v>
      </c>
      <c r="AZ119" s="75">
        <f t="shared" si="210"/>
        <v>62</v>
      </c>
      <c r="BA119" s="75">
        <f t="shared" si="210"/>
        <v>62</v>
      </c>
      <c r="BB119" s="75">
        <f t="shared" si="210"/>
        <v>62</v>
      </c>
      <c r="BC119" s="75">
        <f t="shared" si="210"/>
        <v>62</v>
      </c>
      <c r="BD119" s="61"/>
      <c r="BE119" s="79">
        <f t="shared" si="159"/>
        <v>0</v>
      </c>
      <c r="BF119" s="79">
        <f t="shared" si="157"/>
        <v>744</v>
      </c>
      <c r="BG119" s="79">
        <f t="shared" si="157"/>
        <v>744</v>
      </c>
      <c r="BH119" s="79">
        <f t="shared" si="157"/>
        <v>744</v>
      </c>
    </row>
    <row r="120" spans="2:60" ht="21" customHeight="1" x14ac:dyDescent="0.3">
      <c r="B120" s="49"/>
      <c r="C120" s="49"/>
      <c r="D120" s="49"/>
      <c r="E120" s="49"/>
    </row>
    <row r="121" spans="2:60" ht="21" customHeight="1" x14ac:dyDescent="0.3">
      <c r="B121" s="60" t="s">
        <v>151</v>
      </c>
      <c r="C121" s="48"/>
      <c r="D121" s="48"/>
      <c r="E121" s="47">
        <f>IF(E79="","",E79)</f>
        <v>1</v>
      </c>
      <c r="F121" s="19">
        <f>SUM(F104:F119)</f>
        <v>24268.399999999994</v>
      </c>
      <c r="H121" s="79">
        <f>SUM(H104:H119)</f>
        <v>0</v>
      </c>
      <c r="I121" s="79">
        <f>SUM(I104:I119)</f>
        <v>0</v>
      </c>
      <c r="J121" s="79">
        <f>SUM(J104:J119)</f>
        <v>0</v>
      </c>
      <c r="K121" s="79">
        <f>SUM(K104:K119)</f>
        <v>0</v>
      </c>
      <c r="L121" s="79">
        <f>SUM(L104:L119)</f>
        <v>0</v>
      </c>
      <c r="M121" s="79">
        <f>SUM(M104:M119)</f>
        <v>0</v>
      </c>
      <c r="N121" s="79">
        <f>SUM(N104:N119)</f>
        <v>0</v>
      </c>
      <c r="O121" s="79">
        <f>SUM(O104:O119)</f>
        <v>0</v>
      </c>
      <c r="P121" s="79">
        <f>SUM(P104:P119)</f>
        <v>0</v>
      </c>
      <c r="Q121" s="79">
        <f>SUM(Q104:Q119)</f>
        <v>0</v>
      </c>
      <c r="R121" s="79">
        <f>SUM(R104:R119)</f>
        <v>0</v>
      </c>
      <c r="S121" s="79">
        <f>SUM(S104:S119)</f>
        <v>0</v>
      </c>
      <c r="T121" s="79">
        <f>SUM(T104:T119)</f>
        <v>1340.3000374279516</v>
      </c>
      <c r="U121" s="79">
        <f>SUM(U104:U119)</f>
        <v>995.47674277016745</v>
      </c>
      <c r="V121" s="79">
        <f>SUM(V104:V119)</f>
        <v>661.77678019811924</v>
      </c>
      <c r="W121" s="79">
        <f>SUM(W104:W119)</f>
        <v>84.453485540334896</v>
      </c>
      <c r="X121" s="79">
        <f>SUM(X104:X119)</f>
        <v>-492.8698091174499</v>
      </c>
      <c r="Y121" s="79">
        <f>SUM(Y104:Y119)</f>
        <v>-1051.5697716894977</v>
      </c>
      <c r="Z121" s="79">
        <f>SUM(Z104:Z119)</f>
        <v>-338.07339421613369</v>
      </c>
      <c r="AA121" s="79">
        <f>SUM(AA104:AA119)</f>
        <v>352.40697108066979</v>
      </c>
      <c r="AB121" s="79">
        <f>SUM(AB104:AB119)</f>
        <v>1065.9033485540347</v>
      </c>
      <c r="AC121" s="79">
        <f>SUM(AC104:AC119)</f>
        <v>1779.3997260273977</v>
      </c>
      <c r="AD121" s="79">
        <f>SUM(AD104:AD119)</f>
        <v>2423.8480669710802</v>
      </c>
      <c r="AE121" s="79">
        <f>SUM(AE104:AE119)</f>
        <v>3137.3444444444453</v>
      </c>
      <c r="AF121" s="79">
        <f>SUM(AF104:AF119)</f>
        <v>3091.5234398782359</v>
      </c>
      <c r="AG121" s="79">
        <f>SUM(AG104:AG119)</f>
        <v>3044.1750684931508</v>
      </c>
      <c r="AH121" s="79">
        <f>SUM(AH104:AH119)</f>
        <v>2998.3540639269413</v>
      </c>
      <c r="AI121" s="79">
        <f>SUM(AI104:AI119)</f>
        <v>2951.0056925418567</v>
      </c>
      <c r="AJ121" s="79">
        <f>SUM(AJ104:AJ119)</f>
        <v>2903.6573211567734</v>
      </c>
      <c r="AK121" s="79">
        <f>SUM(AK104:AK119)</f>
        <v>2857.8363165905639</v>
      </c>
      <c r="AL121" s="79">
        <f>SUM(AL104:AL119)</f>
        <v>2810.4879452054793</v>
      </c>
      <c r="AM121" s="79">
        <f>SUM(AM104:AM119)</f>
        <v>2764.6669406392693</v>
      </c>
      <c r="AN121" s="79">
        <f>SUM(AN104:AN119)</f>
        <v>2717.3185692541865</v>
      </c>
      <c r="AO121" s="79">
        <f>SUM(AO104:AO119)</f>
        <v>2669.9701978691019</v>
      </c>
      <c r="AP121" s="79">
        <f>SUM(AP104:AP119)</f>
        <v>2627.2039269406391</v>
      </c>
      <c r="AQ121" s="79">
        <f>SUM(AQ104:AQ119)</f>
        <v>2579.8555555555563</v>
      </c>
      <c r="AR121" s="79">
        <f>SUM(AR104:AR119)</f>
        <v>2534.034550989345</v>
      </c>
      <c r="AS121" s="79">
        <f>SUM(AS104:AS119)</f>
        <v>2486.6861796042622</v>
      </c>
      <c r="AT121" s="79">
        <f>SUM(AT104:AT119)</f>
        <v>2440.8651750380527</v>
      </c>
      <c r="AU121" s="79">
        <f>SUM(AU104:AU119)</f>
        <v>2393.5168036529676</v>
      </c>
      <c r="AV121" s="79">
        <f>SUM(AV104:AV119)</f>
        <v>2346.1684322678843</v>
      </c>
      <c r="AW121" s="79">
        <f>SUM(AW104:AW119)</f>
        <v>2300.3474277016749</v>
      </c>
      <c r="AX121" s="79">
        <f>SUM(AX104:AX119)</f>
        <v>2252.9990563165902</v>
      </c>
      <c r="AY121" s="79">
        <f>SUM(AY104:AY119)</f>
        <v>2207.1780517503812</v>
      </c>
      <c r="AZ121" s="79">
        <f>SUM(AZ104:AZ119)</f>
        <v>2159.8296803652975</v>
      </c>
      <c r="BA121" s="79">
        <f>SUM(BA104:BA119)</f>
        <v>2112.4813089802128</v>
      </c>
      <c r="BB121" s="79">
        <f>SUM(BB104:BB119)</f>
        <v>2069.7150380517505</v>
      </c>
      <c r="BC121" s="79">
        <f>SUM(BC104:BC119)</f>
        <v>2022.3666666666675</v>
      </c>
      <c r="BD121" s="61"/>
      <c r="BE121" s="79">
        <f>SUMIF($H$3:$BD$3,BE$3,$H121:$BD121)</f>
        <v>0</v>
      </c>
      <c r="BF121" s="79">
        <f>SUMIF($H$3:$BD$3,BF$3,$H121:$BD121)</f>
        <v>9958.3966279911201</v>
      </c>
      <c r="BG121" s="79">
        <f t="shared" ref="BG121:BH121" si="211">SUMIF($H$3:$BD$3,BG$3,$H121:$BD121)</f>
        <v>34016.055038051752</v>
      </c>
      <c r="BH121" s="79">
        <f t="shared" si="211"/>
        <v>27326.188371385084</v>
      </c>
    </row>
    <row r="123" spans="2:60" ht="21" customHeight="1" x14ac:dyDescent="0.3">
      <c r="B123" s="58" t="s">
        <v>75</v>
      </c>
      <c r="C123" s="53" t="s">
        <v>37</v>
      </c>
      <c r="D123" s="53" t="s">
        <v>115</v>
      </c>
      <c r="E123" s="53" t="s">
        <v>38</v>
      </c>
      <c r="F123" s="53" t="s">
        <v>19</v>
      </c>
      <c r="G123" s="53" t="s">
        <v>215</v>
      </c>
      <c r="H123" s="59">
        <f>H$4</f>
        <v>43585</v>
      </c>
      <c r="I123" s="59">
        <f t="shared" ref="I123:BC123" si="212">I$4</f>
        <v>43616</v>
      </c>
      <c r="J123" s="59">
        <f t="shared" si="212"/>
        <v>43646</v>
      </c>
      <c r="K123" s="59">
        <f t="shared" si="212"/>
        <v>43677</v>
      </c>
      <c r="L123" s="59">
        <f t="shared" si="212"/>
        <v>43708</v>
      </c>
      <c r="M123" s="59">
        <f t="shared" si="212"/>
        <v>43738</v>
      </c>
      <c r="N123" s="59">
        <f t="shared" si="212"/>
        <v>43769</v>
      </c>
      <c r="O123" s="59">
        <f t="shared" si="212"/>
        <v>43799</v>
      </c>
      <c r="P123" s="59">
        <f t="shared" si="212"/>
        <v>43830</v>
      </c>
      <c r="Q123" s="59">
        <f t="shared" si="212"/>
        <v>43861</v>
      </c>
      <c r="R123" s="59">
        <f t="shared" si="212"/>
        <v>43890</v>
      </c>
      <c r="S123" s="59">
        <f t="shared" si="212"/>
        <v>43921</v>
      </c>
      <c r="T123" s="59">
        <f t="shared" si="212"/>
        <v>43951</v>
      </c>
      <c r="U123" s="59">
        <f t="shared" si="212"/>
        <v>43982</v>
      </c>
      <c r="V123" s="59">
        <f t="shared" si="212"/>
        <v>44012</v>
      </c>
      <c r="W123" s="59">
        <f t="shared" si="212"/>
        <v>44043</v>
      </c>
      <c r="X123" s="59">
        <f t="shared" si="212"/>
        <v>44074</v>
      </c>
      <c r="Y123" s="59">
        <f t="shared" si="212"/>
        <v>44104</v>
      </c>
      <c r="Z123" s="59">
        <f t="shared" si="212"/>
        <v>44135</v>
      </c>
      <c r="AA123" s="59">
        <f t="shared" si="212"/>
        <v>44165</v>
      </c>
      <c r="AB123" s="59">
        <f t="shared" si="212"/>
        <v>44196</v>
      </c>
      <c r="AC123" s="59">
        <f t="shared" si="212"/>
        <v>44227</v>
      </c>
      <c r="AD123" s="59">
        <f t="shared" si="212"/>
        <v>44255</v>
      </c>
      <c r="AE123" s="59">
        <f t="shared" si="212"/>
        <v>44286</v>
      </c>
      <c r="AF123" s="59">
        <f t="shared" si="212"/>
        <v>44316</v>
      </c>
      <c r="AG123" s="59">
        <f t="shared" si="212"/>
        <v>44347</v>
      </c>
      <c r="AH123" s="59">
        <f t="shared" si="212"/>
        <v>44377</v>
      </c>
      <c r="AI123" s="59">
        <f t="shared" si="212"/>
        <v>44408</v>
      </c>
      <c r="AJ123" s="59">
        <f t="shared" si="212"/>
        <v>44439</v>
      </c>
      <c r="AK123" s="59">
        <f t="shared" si="212"/>
        <v>44469</v>
      </c>
      <c r="AL123" s="59">
        <f t="shared" si="212"/>
        <v>44500</v>
      </c>
      <c r="AM123" s="59">
        <f t="shared" si="212"/>
        <v>44530</v>
      </c>
      <c r="AN123" s="59">
        <f t="shared" si="212"/>
        <v>44561</v>
      </c>
      <c r="AO123" s="59">
        <f t="shared" si="212"/>
        <v>44592</v>
      </c>
      <c r="AP123" s="59">
        <f t="shared" si="212"/>
        <v>44620</v>
      </c>
      <c r="AQ123" s="59">
        <f t="shared" si="212"/>
        <v>44651</v>
      </c>
      <c r="AR123" s="59">
        <f t="shared" si="212"/>
        <v>44681</v>
      </c>
      <c r="AS123" s="59">
        <f t="shared" si="212"/>
        <v>44712</v>
      </c>
      <c r="AT123" s="59">
        <f t="shared" si="212"/>
        <v>44742</v>
      </c>
      <c r="AU123" s="59">
        <f t="shared" si="212"/>
        <v>44773</v>
      </c>
      <c r="AV123" s="59">
        <f t="shared" si="212"/>
        <v>44804</v>
      </c>
      <c r="AW123" s="59">
        <f t="shared" si="212"/>
        <v>44834</v>
      </c>
      <c r="AX123" s="59">
        <f t="shared" si="212"/>
        <v>44865</v>
      </c>
      <c r="AY123" s="59">
        <f t="shared" si="212"/>
        <v>44895</v>
      </c>
      <c r="AZ123" s="59">
        <f t="shared" si="212"/>
        <v>44926</v>
      </c>
      <c r="BA123" s="59">
        <f t="shared" si="212"/>
        <v>44957</v>
      </c>
      <c r="BB123" s="59">
        <f t="shared" si="212"/>
        <v>44985</v>
      </c>
      <c r="BC123" s="59">
        <f t="shared" si="212"/>
        <v>45016</v>
      </c>
      <c r="BE123" s="71">
        <f>BE$3</f>
        <v>1</v>
      </c>
      <c r="BF123" s="71">
        <f>BF$3</f>
        <v>2</v>
      </c>
      <c r="BG123" s="71">
        <f>BG$3</f>
        <v>3</v>
      </c>
      <c r="BH123" s="71">
        <f>BH$3</f>
        <v>4</v>
      </c>
    </row>
    <row r="124" spans="2:60" ht="21" customHeight="1" x14ac:dyDescent="0.3">
      <c r="B124" s="60" t="str">
        <f>$B$19</f>
        <v>Covid-19 Disruption - first period</v>
      </c>
      <c r="C124" s="48">
        <f>IF(C$19="","",C$19)</f>
        <v>43891</v>
      </c>
      <c r="D124" s="48">
        <f>IF(D$19="","",D$19)</f>
        <v>43982</v>
      </c>
      <c r="E124" s="47">
        <f>IF(E$19="","",E$19)</f>
        <v>1</v>
      </c>
      <c r="F124" s="79"/>
      <c r="G124" s="75"/>
      <c r="H124" s="79">
        <f t="shared" ref="H124:BC125" si="213">IF(H$4&gt;$D124,0,IFERROR(MIN(1,MAX(0,(EOMONTH(H$4,0)+1-$C124)/(EDATE($C124,$E124)-$C124)))*$F124/12+IF(H$3=1,$G124/12,0),0))</f>
        <v>0</v>
      </c>
      <c r="I124" s="79">
        <f t="shared" si="213"/>
        <v>0</v>
      </c>
      <c r="J124" s="79">
        <f t="shared" si="213"/>
        <v>0</v>
      </c>
      <c r="K124" s="79">
        <f t="shared" si="213"/>
        <v>0</v>
      </c>
      <c r="L124" s="79">
        <f t="shared" si="213"/>
        <v>0</v>
      </c>
      <c r="M124" s="79">
        <f t="shared" si="213"/>
        <v>0</v>
      </c>
      <c r="N124" s="79">
        <f t="shared" si="213"/>
        <v>0</v>
      </c>
      <c r="O124" s="79">
        <f t="shared" si="213"/>
        <v>0</v>
      </c>
      <c r="P124" s="79">
        <f t="shared" si="213"/>
        <v>0</v>
      </c>
      <c r="Q124" s="79">
        <f t="shared" si="213"/>
        <v>0</v>
      </c>
      <c r="R124" s="79">
        <f t="shared" si="213"/>
        <v>0</v>
      </c>
      <c r="S124" s="79">
        <f t="shared" si="213"/>
        <v>0</v>
      </c>
      <c r="T124" s="79">
        <f t="shared" si="213"/>
        <v>0</v>
      </c>
      <c r="U124" s="79">
        <f t="shared" si="213"/>
        <v>0</v>
      </c>
      <c r="V124" s="79">
        <f t="shared" si="213"/>
        <v>0</v>
      </c>
      <c r="W124" s="79">
        <f t="shared" si="213"/>
        <v>0</v>
      </c>
      <c r="X124" s="79">
        <f t="shared" si="213"/>
        <v>0</v>
      </c>
      <c r="Y124" s="79">
        <f t="shared" si="213"/>
        <v>0</v>
      </c>
      <c r="Z124" s="79">
        <f t="shared" si="213"/>
        <v>0</v>
      </c>
      <c r="AA124" s="79">
        <f t="shared" si="213"/>
        <v>0</v>
      </c>
      <c r="AB124" s="79">
        <f t="shared" si="213"/>
        <v>0</v>
      </c>
      <c r="AC124" s="79">
        <f t="shared" si="213"/>
        <v>0</v>
      </c>
      <c r="AD124" s="79">
        <f t="shared" si="213"/>
        <v>0</v>
      </c>
      <c r="AE124" s="79">
        <f t="shared" si="213"/>
        <v>0</v>
      </c>
      <c r="AF124" s="79">
        <f t="shared" si="213"/>
        <v>0</v>
      </c>
      <c r="AG124" s="79">
        <f t="shared" si="213"/>
        <v>0</v>
      </c>
      <c r="AH124" s="79">
        <f t="shared" si="213"/>
        <v>0</v>
      </c>
      <c r="AI124" s="79">
        <f t="shared" si="213"/>
        <v>0</v>
      </c>
      <c r="AJ124" s="79">
        <f t="shared" si="213"/>
        <v>0</v>
      </c>
      <c r="AK124" s="79">
        <f t="shared" si="213"/>
        <v>0</v>
      </c>
      <c r="AL124" s="79">
        <f t="shared" si="213"/>
        <v>0</v>
      </c>
      <c r="AM124" s="79">
        <f t="shared" si="213"/>
        <v>0</v>
      </c>
      <c r="AN124" s="79">
        <f t="shared" si="213"/>
        <v>0</v>
      </c>
      <c r="AO124" s="79">
        <f t="shared" si="213"/>
        <v>0</v>
      </c>
      <c r="AP124" s="79">
        <f t="shared" si="213"/>
        <v>0</v>
      </c>
      <c r="AQ124" s="79">
        <f t="shared" si="213"/>
        <v>0</v>
      </c>
      <c r="AR124" s="79">
        <f t="shared" si="213"/>
        <v>0</v>
      </c>
      <c r="AS124" s="79">
        <f t="shared" si="213"/>
        <v>0</v>
      </c>
      <c r="AT124" s="79">
        <f t="shared" si="213"/>
        <v>0</v>
      </c>
      <c r="AU124" s="79">
        <f t="shared" si="213"/>
        <v>0</v>
      </c>
      <c r="AV124" s="79">
        <f t="shared" si="213"/>
        <v>0</v>
      </c>
      <c r="AW124" s="79">
        <f t="shared" si="213"/>
        <v>0</v>
      </c>
      <c r="AX124" s="79">
        <f t="shared" si="213"/>
        <v>0</v>
      </c>
      <c r="AY124" s="79">
        <f t="shared" si="213"/>
        <v>0</v>
      </c>
      <c r="AZ124" s="79">
        <f t="shared" si="213"/>
        <v>0</v>
      </c>
      <c r="BA124" s="79">
        <f t="shared" si="213"/>
        <v>0</v>
      </c>
      <c r="BB124" s="79">
        <f t="shared" si="213"/>
        <v>0</v>
      </c>
      <c r="BC124" s="79">
        <f t="shared" si="213"/>
        <v>0</v>
      </c>
    </row>
    <row r="125" spans="2:60" ht="21" customHeight="1" x14ac:dyDescent="0.3">
      <c r="B125" s="60" t="str">
        <f>$B$20</f>
        <v>Covid-19 Disruption - second period</v>
      </c>
      <c r="C125" s="48">
        <f>IF(C$20="","",C$20)</f>
        <v>43983</v>
      </c>
      <c r="D125" s="48">
        <f>IF(D$20="","",D$20)</f>
        <v>44165</v>
      </c>
      <c r="E125" s="47">
        <f>IF(E$20="","",E$20)</f>
        <v>1</v>
      </c>
      <c r="F125" s="79"/>
      <c r="G125" s="75"/>
      <c r="H125" s="79">
        <f t="shared" si="213"/>
        <v>0</v>
      </c>
      <c r="I125" s="79">
        <f t="shared" si="213"/>
        <v>0</v>
      </c>
      <c r="J125" s="79">
        <f t="shared" si="213"/>
        <v>0</v>
      </c>
      <c r="K125" s="79">
        <f t="shared" si="213"/>
        <v>0</v>
      </c>
      <c r="L125" s="79">
        <f t="shared" si="213"/>
        <v>0</v>
      </c>
      <c r="M125" s="79">
        <f t="shared" si="213"/>
        <v>0</v>
      </c>
      <c r="N125" s="79">
        <f t="shared" si="213"/>
        <v>0</v>
      </c>
      <c r="O125" s="79">
        <f t="shared" si="213"/>
        <v>0</v>
      </c>
      <c r="P125" s="79">
        <f t="shared" si="213"/>
        <v>0</v>
      </c>
      <c r="Q125" s="79">
        <f t="shared" si="213"/>
        <v>0</v>
      </c>
      <c r="R125" s="79">
        <f t="shared" si="213"/>
        <v>0</v>
      </c>
      <c r="S125" s="79">
        <f t="shared" si="213"/>
        <v>0</v>
      </c>
      <c r="T125" s="79">
        <f t="shared" si="213"/>
        <v>0</v>
      </c>
      <c r="U125" s="79">
        <f t="shared" si="213"/>
        <v>0</v>
      </c>
      <c r="V125" s="79">
        <f t="shared" si="213"/>
        <v>0</v>
      </c>
      <c r="W125" s="79">
        <f t="shared" si="213"/>
        <v>0</v>
      </c>
      <c r="X125" s="79">
        <f t="shared" si="213"/>
        <v>0</v>
      </c>
      <c r="Y125" s="79">
        <f t="shared" si="213"/>
        <v>0</v>
      </c>
      <c r="Z125" s="79">
        <f t="shared" si="213"/>
        <v>0</v>
      </c>
      <c r="AA125" s="79">
        <f t="shared" si="213"/>
        <v>0</v>
      </c>
      <c r="AB125" s="79">
        <f t="shared" si="213"/>
        <v>0</v>
      </c>
      <c r="AC125" s="79">
        <f t="shared" si="213"/>
        <v>0</v>
      </c>
      <c r="AD125" s="79">
        <f t="shared" si="213"/>
        <v>0</v>
      </c>
      <c r="AE125" s="79">
        <f t="shared" si="213"/>
        <v>0</v>
      </c>
      <c r="AF125" s="79">
        <f t="shared" si="213"/>
        <v>0</v>
      </c>
      <c r="AG125" s="79">
        <f t="shared" si="213"/>
        <v>0</v>
      </c>
      <c r="AH125" s="79">
        <f t="shared" si="213"/>
        <v>0</v>
      </c>
      <c r="AI125" s="79">
        <f t="shared" si="213"/>
        <v>0</v>
      </c>
      <c r="AJ125" s="79">
        <f t="shared" si="213"/>
        <v>0</v>
      </c>
      <c r="AK125" s="79">
        <f t="shared" si="213"/>
        <v>0</v>
      </c>
      <c r="AL125" s="79">
        <f t="shared" si="213"/>
        <v>0</v>
      </c>
      <c r="AM125" s="79">
        <f t="shared" si="213"/>
        <v>0</v>
      </c>
      <c r="AN125" s="79">
        <f t="shared" si="213"/>
        <v>0</v>
      </c>
      <c r="AO125" s="79">
        <f t="shared" si="213"/>
        <v>0</v>
      </c>
      <c r="AP125" s="79">
        <f t="shared" si="213"/>
        <v>0</v>
      </c>
      <c r="AQ125" s="79">
        <f t="shared" si="213"/>
        <v>0</v>
      </c>
      <c r="AR125" s="79">
        <f t="shared" si="213"/>
        <v>0</v>
      </c>
      <c r="AS125" s="79">
        <f t="shared" si="213"/>
        <v>0</v>
      </c>
      <c r="AT125" s="79">
        <f t="shared" si="213"/>
        <v>0</v>
      </c>
      <c r="AU125" s="79">
        <f t="shared" si="213"/>
        <v>0</v>
      </c>
      <c r="AV125" s="79">
        <f t="shared" si="213"/>
        <v>0</v>
      </c>
      <c r="AW125" s="79">
        <f t="shared" si="213"/>
        <v>0</v>
      </c>
      <c r="AX125" s="79">
        <f t="shared" si="213"/>
        <v>0</v>
      </c>
      <c r="AY125" s="79">
        <f t="shared" si="213"/>
        <v>0</v>
      </c>
      <c r="AZ125" s="79">
        <f t="shared" si="213"/>
        <v>0</v>
      </c>
      <c r="BA125" s="79">
        <f t="shared" si="213"/>
        <v>0</v>
      </c>
      <c r="BB125" s="79">
        <f t="shared" si="213"/>
        <v>0</v>
      </c>
      <c r="BC125" s="79">
        <f t="shared" si="213"/>
        <v>0</v>
      </c>
    </row>
    <row r="126" spans="2:60" ht="21" customHeight="1" x14ac:dyDescent="0.3">
      <c r="B126" s="160" t="s">
        <v>394</v>
      </c>
      <c r="C126" s="48"/>
      <c r="D126" s="48"/>
      <c r="E126" s="47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E126" s="75">
        <f t="shared" ref="BE126:BH126" si="214">SUMIF($H$3:$BD$3,BE$3,$H126:$BD126)</f>
        <v>0</v>
      </c>
      <c r="BF126" s="75">
        <f t="shared" si="214"/>
        <v>0</v>
      </c>
      <c r="BG126" s="75">
        <f t="shared" si="214"/>
        <v>0</v>
      </c>
      <c r="BH126" s="75">
        <f t="shared" si="214"/>
        <v>0</v>
      </c>
    </row>
    <row r="127" spans="2:60" ht="21" customHeight="1" x14ac:dyDescent="0.3">
      <c r="B127" s="160" t="str">
        <f>$B$22</f>
        <v>Covid-19 Wage subsidy</v>
      </c>
      <c r="C127" s="48"/>
      <c r="D127" s="48"/>
      <c r="E127" s="47"/>
      <c r="F127" s="79"/>
      <c r="G127" s="75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</row>
    <row r="128" spans="2:60" ht="21" customHeight="1" x14ac:dyDescent="0.3">
      <c r="B128" s="60" t="str">
        <f>$B$23</f>
        <v>Call Management</v>
      </c>
      <c r="C128" s="48">
        <f>IF(C$23="","",C$23)</f>
        <v>43922</v>
      </c>
      <c r="D128" s="48" t="str">
        <f>IF(D$23="","",D$23)</f>
        <v/>
      </c>
      <c r="E128" s="47">
        <f>IF(E$23="","",E$23)</f>
        <v>1</v>
      </c>
      <c r="F128" s="79"/>
      <c r="G128" s="75"/>
      <c r="H128" s="75">
        <f>IFERROR(MIN(1,MAX(0,(EOMONTH(H$4,0)+1-$C128)/(EDATE($C128,$E128)-$C128)))*$F128/12+IF(AND(H$4&gt;=EOMONTH($C128,0),H$4&lt;=EOMONTH($C128,11)),$G128/12,0),0)</f>
        <v>0</v>
      </c>
      <c r="I128" s="75">
        <f t="shared" ref="I128:BC129" si="215">IFERROR(MIN(1,MAX(0,(EOMONTH(I$4,0)+1-$C128)/(EDATE($C128,$E128)-$C128)))*$F128/12+IF(AND(I$4&gt;=EOMONTH($C128,0),I$4&lt;=EOMONTH($C128,11)),$G128/12,0),0)</f>
        <v>0</v>
      </c>
      <c r="J128" s="75">
        <f t="shared" si="215"/>
        <v>0</v>
      </c>
      <c r="K128" s="75">
        <f t="shared" si="215"/>
        <v>0</v>
      </c>
      <c r="L128" s="75">
        <f t="shared" si="215"/>
        <v>0</v>
      </c>
      <c r="M128" s="75">
        <f t="shared" si="215"/>
        <v>0</v>
      </c>
      <c r="N128" s="75">
        <f t="shared" si="215"/>
        <v>0</v>
      </c>
      <c r="O128" s="75">
        <f t="shared" si="215"/>
        <v>0</v>
      </c>
      <c r="P128" s="75">
        <f t="shared" si="215"/>
        <v>0</v>
      </c>
      <c r="Q128" s="75">
        <f t="shared" si="215"/>
        <v>0</v>
      </c>
      <c r="R128" s="75">
        <f t="shared" si="215"/>
        <v>0</v>
      </c>
      <c r="S128" s="75">
        <f t="shared" si="215"/>
        <v>0</v>
      </c>
      <c r="T128" s="75">
        <f t="shared" si="215"/>
        <v>0</v>
      </c>
      <c r="U128" s="75">
        <f t="shared" si="215"/>
        <v>0</v>
      </c>
      <c r="V128" s="75">
        <f t="shared" si="215"/>
        <v>0</v>
      </c>
      <c r="W128" s="75">
        <f t="shared" si="215"/>
        <v>0</v>
      </c>
      <c r="X128" s="75">
        <f t="shared" si="215"/>
        <v>0</v>
      </c>
      <c r="Y128" s="75">
        <f t="shared" si="215"/>
        <v>0</v>
      </c>
      <c r="Z128" s="75">
        <f t="shared" si="215"/>
        <v>0</v>
      </c>
      <c r="AA128" s="75">
        <f t="shared" si="215"/>
        <v>0</v>
      </c>
      <c r="AB128" s="75">
        <f t="shared" si="215"/>
        <v>0</v>
      </c>
      <c r="AC128" s="75">
        <f t="shared" si="215"/>
        <v>0</v>
      </c>
      <c r="AD128" s="75">
        <f t="shared" si="215"/>
        <v>0</v>
      </c>
      <c r="AE128" s="75">
        <f t="shared" si="215"/>
        <v>0</v>
      </c>
      <c r="AF128" s="75">
        <f t="shared" si="215"/>
        <v>0</v>
      </c>
      <c r="AG128" s="75">
        <f t="shared" si="215"/>
        <v>0</v>
      </c>
      <c r="AH128" s="75">
        <f t="shared" si="215"/>
        <v>0</v>
      </c>
      <c r="AI128" s="75">
        <f t="shared" si="215"/>
        <v>0</v>
      </c>
      <c r="AJ128" s="75">
        <f t="shared" si="215"/>
        <v>0</v>
      </c>
      <c r="AK128" s="75">
        <f t="shared" si="215"/>
        <v>0</v>
      </c>
      <c r="AL128" s="75">
        <f t="shared" si="215"/>
        <v>0</v>
      </c>
      <c r="AM128" s="75">
        <f t="shared" si="215"/>
        <v>0</v>
      </c>
      <c r="AN128" s="75">
        <f t="shared" si="215"/>
        <v>0</v>
      </c>
      <c r="AO128" s="75">
        <f t="shared" si="215"/>
        <v>0</v>
      </c>
      <c r="AP128" s="75">
        <f t="shared" si="215"/>
        <v>0</v>
      </c>
      <c r="AQ128" s="75">
        <f t="shared" si="215"/>
        <v>0</v>
      </c>
      <c r="AR128" s="75">
        <f t="shared" si="215"/>
        <v>0</v>
      </c>
      <c r="AS128" s="75">
        <f t="shared" si="215"/>
        <v>0</v>
      </c>
      <c r="AT128" s="75">
        <f t="shared" si="215"/>
        <v>0</v>
      </c>
      <c r="AU128" s="75">
        <f t="shared" si="215"/>
        <v>0</v>
      </c>
      <c r="AV128" s="75">
        <f t="shared" si="215"/>
        <v>0</v>
      </c>
      <c r="AW128" s="75">
        <f t="shared" si="215"/>
        <v>0</v>
      </c>
      <c r="AX128" s="75">
        <f t="shared" si="215"/>
        <v>0</v>
      </c>
      <c r="AY128" s="75">
        <f t="shared" si="215"/>
        <v>0</v>
      </c>
      <c r="AZ128" s="75">
        <f t="shared" si="215"/>
        <v>0</v>
      </c>
      <c r="BA128" s="75">
        <f t="shared" si="215"/>
        <v>0</v>
      </c>
      <c r="BB128" s="75">
        <f t="shared" si="215"/>
        <v>0</v>
      </c>
      <c r="BC128" s="75">
        <f t="shared" si="215"/>
        <v>0</v>
      </c>
      <c r="BE128" s="75">
        <f t="shared" ref="BE128:BE139" si="216">SUMIF($H$3:$BD$3,BE$3,$H128:$BD128)</f>
        <v>0</v>
      </c>
      <c r="BF128" s="75">
        <f t="shared" ref="BF128:BH139" si="217">SUMIF($H$3:$BD$3,BF$3,$H128:$BD128)</f>
        <v>0</v>
      </c>
      <c r="BG128" s="75">
        <f t="shared" si="217"/>
        <v>0</v>
      </c>
      <c r="BH128" s="75">
        <f t="shared" si="217"/>
        <v>0</v>
      </c>
    </row>
    <row r="129" spans="2:60" ht="21" customHeight="1" x14ac:dyDescent="0.3">
      <c r="B129" s="60" t="str">
        <f>$B$24</f>
        <v>GP triage</v>
      </c>
      <c r="C129" s="48">
        <f>IF(C$24="","",C$24)</f>
        <v>43922</v>
      </c>
      <c r="D129" s="48" t="str">
        <f>IF(D$24="","",D$24)</f>
        <v/>
      </c>
      <c r="E129" s="47">
        <f>IF(E$24="","",E$24)</f>
        <v>3</v>
      </c>
      <c r="F129" s="79"/>
      <c r="G129" s="75"/>
      <c r="H129" s="75">
        <f>IFERROR(MIN(1,MAX(0,(EOMONTH(H$4,0)+1-$C129)/(EDATE($C129,$E129)-$C129)))*$F129/12+IF(AND(H$4&gt;=EOMONTH($C129,0),H$4&lt;=EOMONTH($C129,11)),$G129/12,0),0)</f>
        <v>0</v>
      </c>
      <c r="I129" s="75">
        <f t="shared" si="215"/>
        <v>0</v>
      </c>
      <c r="J129" s="75">
        <f t="shared" si="215"/>
        <v>0</v>
      </c>
      <c r="K129" s="75">
        <f t="shared" si="215"/>
        <v>0</v>
      </c>
      <c r="L129" s="75">
        <f t="shared" si="215"/>
        <v>0</v>
      </c>
      <c r="M129" s="75">
        <f t="shared" si="215"/>
        <v>0</v>
      </c>
      <c r="N129" s="75">
        <f t="shared" si="215"/>
        <v>0</v>
      </c>
      <c r="O129" s="75">
        <f t="shared" si="215"/>
        <v>0</v>
      </c>
      <c r="P129" s="75">
        <f t="shared" si="215"/>
        <v>0</v>
      </c>
      <c r="Q129" s="75">
        <f t="shared" si="215"/>
        <v>0</v>
      </c>
      <c r="R129" s="75">
        <f t="shared" si="215"/>
        <v>0</v>
      </c>
      <c r="S129" s="75">
        <f t="shared" si="215"/>
        <v>0</v>
      </c>
      <c r="T129" s="75">
        <f t="shared" si="215"/>
        <v>0</v>
      </c>
      <c r="U129" s="75">
        <f t="shared" si="215"/>
        <v>0</v>
      </c>
      <c r="V129" s="75">
        <f t="shared" si="215"/>
        <v>0</v>
      </c>
      <c r="W129" s="75">
        <f t="shared" si="215"/>
        <v>0</v>
      </c>
      <c r="X129" s="75">
        <f t="shared" si="215"/>
        <v>0</v>
      </c>
      <c r="Y129" s="75">
        <f t="shared" si="215"/>
        <v>0</v>
      </c>
      <c r="Z129" s="75">
        <f t="shared" si="215"/>
        <v>0</v>
      </c>
      <c r="AA129" s="75">
        <f t="shared" si="215"/>
        <v>0</v>
      </c>
      <c r="AB129" s="75">
        <f t="shared" si="215"/>
        <v>0</v>
      </c>
      <c r="AC129" s="75">
        <f t="shared" si="215"/>
        <v>0</v>
      </c>
      <c r="AD129" s="75">
        <f t="shared" si="215"/>
        <v>0</v>
      </c>
      <c r="AE129" s="75">
        <f t="shared" si="215"/>
        <v>0</v>
      </c>
      <c r="AF129" s="75">
        <f t="shared" si="215"/>
        <v>0</v>
      </c>
      <c r="AG129" s="75">
        <f t="shared" si="215"/>
        <v>0</v>
      </c>
      <c r="AH129" s="75">
        <f t="shared" si="215"/>
        <v>0</v>
      </c>
      <c r="AI129" s="75">
        <f t="shared" si="215"/>
        <v>0</v>
      </c>
      <c r="AJ129" s="75">
        <f t="shared" si="215"/>
        <v>0</v>
      </c>
      <c r="AK129" s="75">
        <f t="shared" si="215"/>
        <v>0</v>
      </c>
      <c r="AL129" s="75">
        <f t="shared" si="215"/>
        <v>0</v>
      </c>
      <c r="AM129" s="75">
        <f t="shared" si="215"/>
        <v>0</v>
      </c>
      <c r="AN129" s="75">
        <f t="shared" si="215"/>
        <v>0</v>
      </c>
      <c r="AO129" s="75">
        <f t="shared" si="215"/>
        <v>0</v>
      </c>
      <c r="AP129" s="75">
        <f t="shared" si="215"/>
        <v>0</v>
      </c>
      <c r="AQ129" s="75">
        <f t="shared" si="215"/>
        <v>0</v>
      </c>
      <c r="AR129" s="75">
        <f t="shared" si="215"/>
        <v>0</v>
      </c>
      <c r="AS129" s="75">
        <f t="shared" si="215"/>
        <v>0</v>
      </c>
      <c r="AT129" s="75">
        <f t="shared" si="215"/>
        <v>0</v>
      </c>
      <c r="AU129" s="75">
        <f t="shared" si="215"/>
        <v>0</v>
      </c>
      <c r="AV129" s="75">
        <f t="shared" si="215"/>
        <v>0</v>
      </c>
      <c r="AW129" s="75">
        <f t="shared" si="215"/>
        <v>0</v>
      </c>
      <c r="AX129" s="75">
        <f t="shared" si="215"/>
        <v>0</v>
      </c>
      <c r="AY129" s="75">
        <f t="shared" si="215"/>
        <v>0</v>
      </c>
      <c r="AZ129" s="75">
        <f t="shared" si="215"/>
        <v>0</v>
      </c>
      <c r="BA129" s="75">
        <f t="shared" si="215"/>
        <v>0</v>
      </c>
      <c r="BB129" s="75">
        <f t="shared" si="215"/>
        <v>0</v>
      </c>
      <c r="BC129" s="75">
        <f t="shared" si="215"/>
        <v>0</v>
      </c>
      <c r="BD129" s="61"/>
      <c r="BE129" s="75">
        <f t="shared" si="216"/>
        <v>0</v>
      </c>
      <c r="BF129" s="75">
        <f t="shared" si="217"/>
        <v>0</v>
      </c>
      <c r="BG129" s="75">
        <f t="shared" si="217"/>
        <v>0</v>
      </c>
      <c r="BH129" s="75">
        <f t="shared" si="217"/>
        <v>0</v>
      </c>
    </row>
    <row r="130" spans="2:60" ht="21" customHeight="1" x14ac:dyDescent="0.3">
      <c r="B130" s="60" t="s">
        <v>354</v>
      </c>
      <c r="C130" s="48">
        <f>IF(C$25="","",C$25)</f>
        <v>43891</v>
      </c>
      <c r="D130" s="48">
        <f>IF(D$25="","",D$25)</f>
        <v>43982</v>
      </c>
      <c r="E130" s="47">
        <v>1</v>
      </c>
      <c r="F130" s="79"/>
      <c r="G130" s="75"/>
      <c r="H130" s="161">
        <f>IF(AND(H$5=1,$F130&lt;&gt;""),$F130/'Covid 19'!$C$7-H129,0)</f>
        <v>0</v>
      </c>
      <c r="I130" s="161">
        <f>IF(AND(I$5=1,$F130&lt;&gt;""),$F130/'Covid 19'!$C$7-I129,0)</f>
        <v>0</v>
      </c>
      <c r="J130" s="161">
        <f>IF(AND(J$5=1,$F130&lt;&gt;""),$F130/'Covid 19'!$C$7-J129,0)</f>
        <v>0</v>
      </c>
      <c r="K130" s="161">
        <f>IF(AND(K$5=1,$F130&lt;&gt;""),$F130/'Covid 19'!$C$7-K129,0)</f>
        <v>0</v>
      </c>
      <c r="L130" s="161">
        <f>IF(AND(L$5=1,$F130&lt;&gt;""),$F130/'Covid 19'!$C$7-L129,0)</f>
        <v>0</v>
      </c>
      <c r="M130" s="161">
        <f>IF(AND(M$5=1,$F130&lt;&gt;""),$F130/'Covid 19'!$C$7-M129,0)</f>
        <v>0</v>
      </c>
      <c r="N130" s="161">
        <f>IF(AND(N$5=1,$F130&lt;&gt;""),$F130/'Covid 19'!$C$7-N129,0)</f>
        <v>0</v>
      </c>
      <c r="O130" s="161">
        <f>IF(AND(O$5=1,$F130&lt;&gt;""),$F130/'Covid 19'!$C$7-O129,0)</f>
        <v>0</v>
      </c>
      <c r="P130" s="161">
        <f>IF(AND(P$5=1,$F130&lt;&gt;""),$F130/'Covid 19'!$C$7-P129,0)</f>
        <v>0</v>
      </c>
      <c r="Q130" s="161">
        <f>IF(AND(Q$5=1,$F130&lt;&gt;""),$F130/'Covid 19'!$C$7-Q129,0)</f>
        <v>0</v>
      </c>
      <c r="R130" s="161">
        <f>IF(AND(R$5=1,$F130&lt;&gt;""),$F130/'Covid 19'!$C$7-R129,0)</f>
        <v>0</v>
      </c>
      <c r="S130" s="161">
        <f>IF(AND(S$5=1,$F130&lt;&gt;""),$F130/'Covid 19'!$C$7-S129,0)</f>
        <v>0</v>
      </c>
      <c r="T130" s="161">
        <f>IF(AND(T$5=1,$F130&lt;&gt;""),$F130/'Covid 19'!$C$7-T129,0)</f>
        <v>0</v>
      </c>
      <c r="U130" s="161">
        <f>IF(AND(U$5=1,$F130&lt;&gt;""),$F130/'Covid 19'!$C$7-U129,0)</f>
        <v>0</v>
      </c>
      <c r="V130" s="161">
        <f>IF(AND(V$5=1,$F130&lt;&gt;""),$F130/'Covid 19'!$C$7-V129,0)</f>
        <v>0</v>
      </c>
      <c r="W130" s="161">
        <f>IF(AND(W$5=1,$F130&lt;&gt;""),$F130/'Covid 19'!$C$7-W129,0)</f>
        <v>0</v>
      </c>
      <c r="X130" s="161">
        <f>IF(AND(X$5=1,$F130&lt;&gt;""),$F130/'Covid 19'!$C$7-X129,0)</f>
        <v>0</v>
      </c>
      <c r="Y130" s="161">
        <f>IF(AND(Y$5=1,$F130&lt;&gt;""),$F130/'Covid 19'!$C$7-Y129,0)</f>
        <v>0</v>
      </c>
      <c r="Z130" s="161">
        <f>IF(AND(Z$5=1,$F130&lt;&gt;""),$F130/'Covid 19'!$C$7-Z129,0)</f>
        <v>0</v>
      </c>
      <c r="AA130" s="161">
        <f>IF(AND(AA$5=1,$F130&lt;&gt;""),$F130/'Covid 19'!$C$7-AA129,0)</f>
        <v>0</v>
      </c>
      <c r="AB130" s="161">
        <f>IF(AND(AB$5=1,$F130&lt;&gt;""),$F130/'Covid 19'!$C$7-AB129,0)</f>
        <v>0</v>
      </c>
      <c r="AC130" s="161">
        <f>IF(AND(AC$5=1,$F130&lt;&gt;""),$F130/'Covid 19'!$C$7-AC129,0)</f>
        <v>0</v>
      </c>
      <c r="AD130" s="161">
        <f>IF(AND(AD$5=1,$F130&lt;&gt;""),$F130/'Covid 19'!$C$7-AD129,0)</f>
        <v>0</v>
      </c>
      <c r="AE130" s="161">
        <f>IF(AND(AE$5=1,$F130&lt;&gt;""),$F130/'Covid 19'!$C$7-AE129,0)</f>
        <v>0</v>
      </c>
      <c r="AF130" s="161">
        <f>IF(AND(AF$5=1,$F130&lt;&gt;""),$F130/'Covid 19'!$C$7-AF129,0)</f>
        <v>0</v>
      </c>
      <c r="AG130" s="161">
        <f>IF(AND(AG$5=1,$F130&lt;&gt;""),$F130/'Covid 19'!$C$7-AG129,0)</f>
        <v>0</v>
      </c>
      <c r="AH130" s="161">
        <f>IF(AND(AH$5=1,$F130&lt;&gt;""),$F130/'Covid 19'!$C$7-AH129,0)</f>
        <v>0</v>
      </c>
      <c r="AI130" s="161">
        <f>IF(AND(AI$5=1,$F130&lt;&gt;""),$F130/'Covid 19'!$C$7-AI129,0)</f>
        <v>0</v>
      </c>
      <c r="AJ130" s="161">
        <f>IF(AND(AJ$5=1,$F130&lt;&gt;""),$F130/'Covid 19'!$C$7-AJ129,0)</f>
        <v>0</v>
      </c>
      <c r="AK130" s="161">
        <f>IF(AND(AK$5=1,$F130&lt;&gt;""),$F130/'Covid 19'!$C$7-AK129,0)</f>
        <v>0</v>
      </c>
      <c r="AL130" s="161">
        <f>IF(AND(AL$5=1,$F130&lt;&gt;""),$F130/'Covid 19'!$C$7-AL129,0)</f>
        <v>0</v>
      </c>
      <c r="AM130" s="161">
        <f>IF(AND(AM$5=1,$F130&lt;&gt;""),$F130/'Covid 19'!$C$7-AM129,0)</f>
        <v>0</v>
      </c>
      <c r="AN130" s="161">
        <f>IF(AND(AN$5=1,$F130&lt;&gt;""),$F130/'Covid 19'!$C$7-AN129,0)</f>
        <v>0</v>
      </c>
      <c r="AO130" s="161">
        <f>IF(AND(AO$5=1,$F130&lt;&gt;""),$F130/'Covid 19'!$C$7-AO129,0)</f>
        <v>0</v>
      </c>
      <c r="AP130" s="161">
        <f>IF(AND(AP$5=1,$F130&lt;&gt;""),$F130/'Covid 19'!$C$7-AP129,0)</f>
        <v>0</v>
      </c>
      <c r="AQ130" s="161">
        <f>IF(AND(AQ$5=1,$F130&lt;&gt;""),$F130/'Covid 19'!$C$7-AQ129,0)</f>
        <v>0</v>
      </c>
      <c r="AR130" s="161">
        <f>IF(AND(AR$5=1,$F130&lt;&gt;""),$F130/'Covid 19'!$C$7-AR129,0)</f>
        <v>0</v>
      </c>
      <c r="AS130" s="161">
        <f>IF(AND(AS$5=1,$F130&lt;&gt;""),$F130/'Covid 19'!$C$7-AS129,0)</f>
        <v>0</v>
      </c>
      <c r="AT130" s="161">
        <f>IF(AND(AT$5=1,$F130&lt;&gt;""),$F130/'Covid 19'!$C$7-AT129,0)</f>
        <v>0</v>
      </c>
      <c r="AU130" s="161">
        <f>IF(AND(AU$5=1,$F130&lt;&gt;""),$F130/'Covid 19'!$C$7-AU129,0)</f>
        <v>0</v>
      </c>
      <c r="AV130" s="161">
        <f>IF(AND(AV$5=1,$F130&lt;&gt;""),$F130/'Covid 19'!$C$7-AV129,0)</f>
        <v>0</v>
      </c>
      <c r="AW130" s="161">
        <f>IF(AND(AW$5=1,$F130&lt;&gt;""),$F130/'Covid 19'!$C$7-AW129,0)</f>
        <v>0</v>
      </c>
      <c r="AX130" s="161">
        <f>IF(AND(AX$5=1,$F130&lt;&gt;""),$F130/'Covid 19'!$C$7-AX129,0)</f>
        <v>0</v>
      </c>
      <c r="AY130" s="161">
        <f>IF(AND(AY$5=1,$F130&lt;&gt;""),$F130/'Covid 19'!$C$7-AY129,0)</f>
        <v>0</v>
      </c>
      <c r="AZ130" s="161">
        <f>IF(AND(AZ$5=1,$F130&lt;&gt;""),$F130/'Covid 19'!$C$7-AZ129,0)</f>
        <v>0</v>
      </c>
      <c r="BA130" s="161">
        <f>IF(AND(BA$5=1,$F130&lt;&gt;""),$F130/'Covid 19'!$C$7-BA129,0)</f>
        <v>0</v>
      </c>
      <c r="BB130" s="161">
        <f>IF(AND(BB$5=1,$F130&lt;&gt;""),$F130/'Covid 19'!$C$7-BB129,0)</f>
        <v>0</v>
      </c>
      <c r="BC130" s="161">
        <f>IF(AND(BC$5=1,$F130&lt;&gt;""),$F130/'Covid 19'!$C$7-BC129,0)</f>
        <v>0</v>
      </c>
      <c r="BE130" s="75">
        <f t="shared" si="216"/>
        <v>0</v>
      </c>
      <c r="BF130" s="75">
        <f t="shared" si="217"/>
        <v>0</v>
      </c>
      <c r="BG130" s="75">
        <f t="shared" si="217"/>
        <v>0</v>
      </c>
      <c r="BH130" s="75">
        <f t="shared" si="217"/>
        <v>0</v>
      </c>
    </row>
    <row r="131" spans="2:60" ht="21" customHeight="1" x14ac:dyDescent="0.3">
      <c r="B131" s="60" t="str">
        <f>B26</f>
        <v>Virtual consults</v>
      </c>
      <c r="C131" s="48">
        <f>IF(C$26="","",C$26)</f>
        <v>43922</v>
      </c>
      <c r="D131" s="48" t="str">
        <f>IF(D$26="","",D$26)</f>
        <v/>
      </c>
      <c r="E131" s="47"/>
      <c r="F131" s="79"/>
      <c r="G131" s="75"/>
      <c r="H131" s="75">
        <f>IFERROR(MIN(1,MAX(0,(EOMONTH(H$4,0)+1-$C131)/(EDATE($C131,$E131)-$C131)))*$F131/12+IF(AND(H$4&gt;=EOMONTH($C131,0),H$4&lt;=EOMONTH($C131,11)),$G131/12,0),0)</f>
        <v>0</v>
      </c>
      <c r="I131" s="75">
        <f t="shared" ref="I131:BC131" si="218">IFERROR(MIN(1,MAX(0,(EOMONTH(I$4,0)+1-$C131)/(EDATE($C131,$E131)-$C131)))*$F131/12+IF(AND(I$4&gt;=EOMONTH($C131,0),I$4&lt;=EOMONTH($C131,11)),$G131/12,0),0)</f>
        <v>0</v>
      </c>
      <c r="J131" s="75">
        <f t="shared" si="218"/>
        <v>0</v>
      </c>
      <c r="K131" s="75">
        <f t="shared" si="218"/>
        <v>0</v>
      </c>
      <c r="L131" s="75">
        <f t="shared" si="218"/>
        <v>0</v>
      </c>
      <c r="M131" s="75">
        <f t="shared" si="218"/>
        <v>0</v>
      </c>
      <c r="N131" s="75">
        <f t="shared" si="218"/>
        <v>0</v>
      </c>
      <c r="O131" s="75">
        <f t="shared" si="218"/>
        <v>0</v>
      </c>
      <c r="P131" s="75">
        <f t="shared" si="218"/>
        <v>0</v>
      </c>
      <c r="Q131" s="75">
        <f t="shared" si="218"/>
        <v>0</v>
      </c>
      <c r="R131" s="75">
        <f t="shared" si="218"/>
        <v>0</v>
      </c>
      <c r="S131" s="75">
        <f t="shared" si="218"/>
        <v>0</v>
      </c>
      <c r="T131" s="75">
        <f t="shared" si="218"/>
        <v>0</v>
      </c>
      <c r="U131" s="75">
        <f t="shared" si="218"/>
        <v>0</v>
      </c>
      <c r="V131" s="75">
        <f t="shared" si="218"/>
        <v>0</v>
      </c>
      <c r="W131" s="75">
        <f t="shared" si="218"/>
        <v>0</v>
      </c>
      <c r="X131" s="75">
        <f t="shared" si="218"/>
        <v>0</v>
      </c>
      <c r="Y131" s="75">
        <f t="shared" si="218"/>
        <v>0</v>
      </c>
      <c r="Z131" s="75">
        <f t="shared" si="218"/>
        <v>0</v>
      </c>
      <c r="AA131" s="75">
        <f t="shared" si="218"/>
        <v>0</v>
      </c>
      <c r="AB131" s="75">
        <f t="shared" si="218"/>
        <v>0</v>
      </c>
      <c r="AC131" s="75">
        <f t="shared" si="218"/>
        <v>0</v>
      </c>
      <c r="AD131" s="75">
        <f t="shared" si="218"/>
        <v>0</v>
      </c>
      <c r="AE131" s="75">
        <f t="shared" si="218"/>
        <v>0</v>
      </c>
      <c r="AF131" s="75">
        <f t="shared" si="218"/>
        <v>0</v>
      </c>
      <c r="AG131" s="75">
        <f t="shared" si="218"/>
        <v>0</v>
      </c>
      <c r="AH131" s="75">
        <f t="shared" si="218"/>
        <v>0</v>
      </c>
      <c r="AI131" s="75">
        <f t="shared" si="218"/>
        <v>0</v>
      </c>
      <c r="AJ131" s="75">
        <f t="shared" si="218"/>
        <v>0</v>
      </c>
      <c r="AK131" s="75">
        <f t="shared" si="218"/>
        <v>0</v>
      </c>
      <c r="AL131" s="75">
        <f t="shared" si="218"/>
        <v>0</v>
      </c>
      <c r="AM131" s="75">
        <f t="shared" si="218"/>
        <v>0</v>
      </c>
      <c r="AN131" s="75">
        <f t="shared" si="218"/>
        <v>0</v>
      </c>
      <c r="AO131" s="75">
        <f t="shared" si="218"/>
        <v>0</v>
      </c>
      <c r="AP131" s="75">
        <f t="shared" si="218"/>
        <v>0</v>
      </c>
      <c r="AQ131" s="75">
        <f t="shared" si="218"/>
        <v>0</v>
      </c>
      <c r="AR131" s="75">
        <f t="shared" si="218"/>
        <v>0</v>
      </c>
      <c r="AS131" s="75">
        <f t="shared" si="218"/>
        <v>0</v>
      </c>
      <c r="AT131" s="75">
        <f t="shared" si="218"/>
        <v>0</v>
      </c>
      <c r="AU131" s="75">
        <f t="shared" si="218"/>
        <v>0</v>
      </c>
      <c r="AV131" s="75">
        <f t="shared" si="218"/>
        <v>0</v>
      </c>
      <c r="AW131" s="75">
        <f t="shared" si="218"/>
        <v>0</v>
      </c>
      <c r="AX131" s="75">
        <f t="shared" si="218"/>
        <v>0</v>
      </c>
      <c r="AY131" s="75">
        <f t="shared" si="218"/>
        <v>0</v>
      </c>
      <c r="AZ131" s="75">
        <f t="shared" si="218"/>
        <v>0</v>
      </c>
      <c r="BA131" s="75">
        <f t="shared" si="218"/>
        <v>0</v>
      </c>
      <c r="BB131" s="75">
        <f t="shared" si="218"/>
        <v>0</v>
      </c>
      <c r="BC131" s="75">
        <f t="shared" si="218"/>
        <v>0</v>
      </c>
      <c r="BD131" s="61"/>
      <c r="BE131" s="75"/>
      <c r="BF131" s="75"/>
      <c r="BG131" s="75"/>
      <c r="BH131" s="75"/>
    </row>
    <row r="132" spans="2:60" ht="21" customHeight="1" x14ac:dyDescent="0.3">
      <c r="B132" s="60" t="s">
        <v>367</v>
      </c>
      <c r="C132" s="48">
        <f>C124</f>
        <v>43891</v>
      </c>
      <c r="D132" s="48">
        <f>D125</f>
        <v>44165</v>
      </c>
      <c r="E132" s="47">
        <v>1</v>
      </c>
      <c r="F132" s="75"/>
      <c r="G132" s="75"/>
      <c r="H132" s="161">
        <f>IF(AND(H$5=1,$G132&lt;&gt;""),$G132-H131,IF(AND(H$5=2,$F132&lt;&gt;""),$F132-H131,0))</f>
        <v>0</v>
      </c>
      <c r="I132" s="161">
        <f t="shared" ref="I132" si="219">IF(AND(I$5=1,$G132&lt;&gt;""),$G132-I131,IF(AND(I$5=2,$F132&lt;&gt;""),$F132-I131,0))</f>
        <v>0</v>
      </c>
      <c r="J132" s="161">
        <f t="shared" ref="J132" si="220">IF(AND(J$5=1,$G132&lt;&gt;""),$G132-J131,IF(AND(J$5=2,$F132&lt;&gt;""),$F132-J131,0))</f>
        <v>0</v>
      </c>
      <c r="K132" s="161">
        <f t="shared" ref="K132" si="221">IF(AND(K$5=1,$G132&lt;&gt;""),$G132-K131,IF(AND(K$5=2,$F132&lt;&gt;""),$F132-K131,0))</f>
        <v>0</v>
      </c>
      <c r="L132" s="161">
        <f t="shared" ref="L132" si="222">IF(AND(L$5=1,$G132&lt;&gt;""),$G132-L131,IF(AND(L$5=2,$F132&lt;&gt;""),$F132-L131,0))</f>
        <v>0</v>
      </c>
      <c r="M132" s="161">
        <f t="shared" ref="M132" si="223">IF(AND(M$5=1,$G132&lt;&gt;""),$G132-M131,IF(AND(M$5=2,$F132&lt;&gt;""),$F132-M131,0))</f>
        <v>0</v>
      </c>
      <c r="N132" s="161">
        <f t="shared" ref="N132" si="224">IF(AND(N$5=1,$G132&lt;&gt;""),$G132-N131,IF(AND(N$5=2,$F132&lt;&gt;""),$F132-N131,0))</f>
        <v>0</v>
      </c>
      <c r="O132" s="161">
        <f t="shared" ref="O132" si="225">IF(AND(O$5=1,$G132&lt;&gt;""),$G132-O131,IF(AND(O$5=2,$F132&lt;&gt;""),$F132-O131,0))</f>
        <v>0</v>
      </c>
      <c r="P132" s="161">
        <f t="shared" ref="P132" si="226">IF(AND(P$5=1,$G132&lt;&gt;""),$G132-P131,IF(AND(P$5=2,$F132&lt;&gt;""),$F132-P131,0))</f>
        <v>0</v>
      </c>
      <c r="Q132" s="161">
        <f t="shared" ref="Q132" si="227">IF(AND(Q$5=1,$G132&lt;&gt;""),$G132-Q131,IF(AND(Q$5=2,$F132&lt;&gt;""),$F132-Q131,0))</f>
        <v>0</v>
      </c>
      <c r="R132" s="161">
        <f t="shared" ref="R132" si="228">IF(AND(R$5=1,$G132&lt;&gt;""),$G132-R131,IF(AND(R$5=2,$F132&lt;&gt;""),$F132-R131,0))</f>
        <v>0</v>
      </c>
      <c r="S132" s="161">
        <f t="shared" ref="S132" si="229">IF(AND(S$5=1,$G132&lt;&gt;""),$G132-S131,IF(AND(S$5=2,$F132&lt;&gt;""),$F132-S131,0))</f>
        <v>0</v>
      </c>
      <c r="T132" s="161">
        <f t="shared" ref="T132" si="230">IF(AND(T$5=1,$G132&lt;&gt;""),$G132-T131,IF(AND(T$5=2,$F132&lt;&gt;""),$F132-T131,0))</f>
        <v>0</v>
      </c>
      <c r="U132" s="161">
        <f t="shared" ref="U132" si="231">IF(AND(U$5=1,$G132&lt;&gt;""),$G132-U131,IF(AND(U$5=2,$F132&lt;&gt;""),$F132-U131,0))</f>
        <v>0</v>
      </c>
      <c r="V132" s="161">
        <f t="shared" ref="V132" si="232">IF(AND(V$5=1,$G132&lt;&gt;""),$G132-V131,IF(AND(V$5=2,$F132&lt;&gt;""),$F132-V131,0))</f>
        <v>0</v>
      </c>
      <c r="W132" s="161">
        <f t="shared" ref="W132" si="233">IF(AND(W$5=1,$G132&lt;&gt;""),$G132-W131,IF(AND(W$5=2,$F132&lt;&gt;""),$F132-W131,0))</f>
        <v>0</v>
      </c>
      <c r="X132" s="161">
        <f t="shared" ref="X132" si="234">IF(AND(X$5=1,$G132&lt;&gt;""),$G132-X131,IF(AND(X$5=2,$F132&lt;&gt;""),$F132-X131,0))</f>
        <v>0</v>
      </c>
      <c r="Y132" s="161">
        <f t="shared" ref="Y132" si="235">IF(AND(Y$5=1,$G132&lt;&gt;""),$G132-Y131,IF(AND(Y$5=2,$F132&lt;&gt;""),$F132-Y131,0))</f>
        <v>0</v>
      </c>
      <c r="Z132" s="161">
        <f t="shared" ref="Z132" si="236">IF(AND(Z$5=1,$G132&lt;&gt;""),$G132-Z131,IF(AND(Z$5=2,$F132&lt;&gt;""),$F132-Z131,0))</f>
        <v>0</v>
      </c>
      <c r="AA132" s="161">
        <f t="shared" ref="AA132" si="237">IF(AND(AA$5=1,$G132&lt;&gt;""),$G132-AA131,IF(AND(AA$5=2,$F132&lt;&gt;""),$F132-AA131,0))</f>
        <v>0</v>
      </c>
      <c r="AB132" s="161">
        <f t="shared" ref="AB132" si="238">IF(AND(AB$5=1,$G132&lt;&gt;""),$G132-AB131,IF(AND(AB$5=2,$F132&lt;&gt;""),$F132-AB131,0))</f>
        <v>0</v>
      </c>
      <c r="AC132" s="161">
        <f t="shared" ref="AC132" si="239">IF(AND(AC$5=1,$G132&lt;&gt;""),$G132-AC131,IF(AND(AC$5=2,$F132&lt;&gt;""),$F132-AC131,0))</f>
        <v>0</v>
      </c>
      <c r="AD132" s="161">
        <f t="shared" ref="AD132" si="240">IF(AND(AD$5=1,$G132&lt;&gt;""),$G132-AD131,IF(AND(AD$5=2,$F132&lt;&gt;""),$F132-AD131,0))</f>
        <v>0</v>
      </c>
      <c r="AE132" s="161">
        <f t="shared" ref="AE132" si="241">IF(AND(AE$5=1,$G132&lt;&gt;""),$G132-AE131,IF(AND(AE$5=2,$F132&lt;&gt;""),$F132-AE131,0))</f>
        <v>0</v>
      </c>
      <c r="AF132" s="161">
        <f t="shared" ref="AF132" si="242">IF(AND(AF$5=1,$G132&lt;&gt;""),$G132-AF131,IF(AND(AF$5=2,$F132&lt;&gt;""),$F132-AF131,0))</f>
        <v>0</v>
      </c>
      <c r="AG132" s="161">
        <f t="shared" ref="AG132" si="243">IF(AND(AG$5=1,$G132&lt;&gt;""),$G132-AG131,IF(AND(AG$5=2,$F132&lt;&gt;""),$F132-AG131,0))</f>
        <v>0</v>
      </c>
      <c r="AH132" s="161">
        <f t="shared" ref="AH132" si="244">IF(AND(AH$5=1,$G132&lt;&gt;""),$G132-AH131,IF(AND(AH$5=2,$F132&lt;&gt;""),$F132-AH131,0))</f>
        <v>0</v>
      </c>
      <c r="AI132" s="161">
        <f t="shared" ref="AI132" si="245">IF(AND(AI$5=1,$G132&lt;&gt;""),$G132-AI131,IF(AND(AI$5=2,$F132&lt;&gt;""),$F132-AI131,0))</f>
        <v>0</v>
      </c>
      <c r="AJ132" s="161">
        <f t="shared" ref="AJ132" si="246">IF(AND(AJ$5=1,$G132&lt;&gt;""),$G132-AJ131,IF(AND(AJ$5=2,$F132&lt;&gt;""),$F132-AJ131,0))</f>
        <v>0</v>
      </c>
      <c r="AK132" s="161">
        <f t="shared" ref="AK132" si="247">IF(AND(AK$5=1,$G132&lt;&gt;""),$G132-AK131,IF(AND(AK$5=2,$F132&lt;&gt;""),$F132-AK131,0))</f>
        <v>0</v>
      </c>
      <c r="AL132" s="161">
        <f t="shared" ref="AL132" si="248">IF(AND(AL$5=1,$G132&lt;&gt;""),$G132-AL131,IF(AND(AL$5=2,$F132&lt;&gt;""),$F132-AL131,0))</f>
        <v>0</v>
      </c>
      <c r="AM132" s="161">
        <f t="shared" ref="AM132" si="249">IF(AND(AM$5=1,$G132&lt;&gt;""),$G132-AM131,IF(AND(AM$5=2,$F132&lt;&gt;""),$F132-AM131,0))</f>
        <v>0</v>
      </c>
      <c r="AN132" s="161">
        <f t="shared" ref="AN132" si="250">IF(AND(AN$5=1,$G132&lt;&gt;""),$G132-AN131,IF(AND(AN$5=2,$F132&lt;&gt;""),$F132-AN131,0))</f>
        <v>0</v>
      </c>
      <c r="AO132" s="161">
        <f t="shared" ref="AO132" si="251">IF(AND(AO$5=1,$G132&lt;&gt;""),$G132-AO131,IF(AND(AO$5=2,$F132&lt;&gt;""),$F132-AO131,0))</f>
        <v>0</v>
      </c>
      <c r="AP132" s="161">
        <f t="shared" ref="AP132" si="252">IF(AND(AP$5=1,$G132&lt;&gt;""),$G132-AP131,IF(AND(AP$5=2,$F132&lt;&gt;""),$F132-AP131,0))</f>
        <v>0</v>
      </c>
      <c r="AQ132" s="161">
        <f t="shared" ref="AQ132" si="253">IF(AND(AQ$5=1,$G132&lt;&gt;""),$G132-AQ131,IF(AND(AQ$5=2,$F132&lt;&gt;""),$F132-AQ131,0))</f>
        <v>0</v>
      </c>
      <c r="AR132" s="161">
        <f t="shared" ref="AR132" si="254">IF(AND(AR$5=1,$G132&lt;&gt;""),$G132-AR131,IF(AND(AR$5=2,$F132&lt;&gt;""),$F132-AR131,0))</f>
        <v>0</v>
      </c>
      <c r="AS132" s="161">
        <f t="shared" ref="AS132" si="255">IF(AND(AS$5=1,$G132&lt;&gt;""),$G132-AS131,IF(AND(AS$5=2,$F132&lt;&gt;""),$F132-AS131,0))</f>
        <v>0</v>
      </c>
      <c r="AT132" s="161">
        <f t="shared" ref="AT132" si="256">IF(AND(AT$5=1,$G132&lt;&gt;""),$G132-AT131,IF(AND(AT$5=2,$F132&lt;&gt;""),$F132-AT131,0))</f>
        <v>0</v>
      </c>
      <c r="AU132" s="161">
        <f t="shared" ref="AU132" si="257">IF(AND(AU$5=1,$G132&lt;&gt;""),$G132-AU131,IF(AND(AU$5=2,$F132&lt;&gt;""),$F132-AU131,0))</f>
        <v>0</v>
      </c>
      <c r="AV132" s="161">
        <f t="shared" ref="AV132" si="258">IF(AND(AV$5=1,$G132&lt;&gt;""),$G132-AV131,IF(AND(AV$5=2,$F132&lt;&gt;""),$F132-AV131,0))</f>
        <v>0</v>
      </c>
      <c r="AW132" s="161">
        <f t="shared" ref="AW132" si="259">IF(AND(AW$5=1,$G132&lt;&gt;""),$G132-AW131,IF(AND(AW$5=2,$F132&lt;&gt;""),$F132-AW131,0))</f>
        <v>0</v>
      </c>
      <c r="AX132" s="161">
        <f t="shared" ref="AX132" si="260">IF(AND(AX$5=1,$G132&lt;&gt;""),$G132-AX131,IF(AND(AX$5=2,$F132&lt;&gt;""),$F132-AX131,0))</f>
        <v>0</v>
      </c>
      <c r="AY132" s="161">
        <f t="shared" ref="AY132" si="261">IF(AND(AY$5=1,$G132&lt;&gt;""),$G132-AY131,IF(AND(AY$5=2,$F132&lt;&gt;""),$F132-AY131,0))</f>
        <v>0</v>
      </c>
      <c r="AZ132" s="161">
        <f t="shared" ref="AZ132" si="262">IF(AND(AZ$5=1,$G132&lt;&gt;""),$G132-AZ131,IF(AND(AZ$5=2,$F132&lt;&gt;""),$F132-AZ131,0))</f>
        <v>0</v>
      </c>
      <c r="BA132" s="161">
        <f t="shared" ref="BA132" si="263">IF(AND(BA$5=1,$G132&lt;&gt;""),$G132-BA131,IF(AND(BA$5=2,$F132&lt;&gt;""),$F132-BA131,0))</f>
        <v>0</v>
      </c>
      <c r="BB132" s="161">
        <f t="shared" ref="BB132" si="264">IF(AND(BB$5=1,$G132&lt;&gt;""),$G132-BB131,IF(AND(BB$5=2,$F132&lt;&gt;""),$F132-BB131,0))</f>
        <v>0</v>
      </c>
      <c r="BC132" s="161">
        <f t="shared" ref="BC132" si="265">IF(AND(BC$5=1,$G132&lt;&gt;""),$G132-BC131,IF(AND(BC$5=2,$F132&lt;&gt;""),$F132-BC131,0))</f>
        <v>0</v>
      </c>
      <c r="BE132" s="75">
        <f t="shared" ref="BE132:BH132" si="266">SUMIF($H$3:$BD$3,BE$3,$H132:$BD132)</f>
        <v>0</v>
      </c>
      <c r="BF132" s="75">
        <f t="shared" si="266"/>
        <v>0</v>
      </c>
      <c r="BG132" s="75">
        <f t="shared" si="266"/>
        <v>0</v>
      </c>
      <c r="BH132" s="75">
        <f t="shared" si="266"/>
        <v>0</v>
      </c>
    </row>
    <row r="133" spans="2:60" ht="21" customHeight="1" x14ac:dyDescent="0.3">
      <c r="B133" s="60" t="str">
        <f>$B$28</f>
        <v>YOC</v>
      </c>
      <c r="C133" s="48">
        <f>IF(C$28="","",C$28)</f>
        <v>43922</v>
      </c>
      <c r="D133" s="48" t="str">
        <f>IF(D$28="","",D$28)</f>
        <v/>
      </c>
      <c r="E133" s="47">
        <f>IF(E$28="","",E$28)</f>
        <v>12</v>
      </c>
      <c r="F133" s="79">
        <v>0</v>
      </c>
      <c r="G133" s="75"/>
      <c r="H133" s="75">
        <f>IFERROR(MIN(1,MAX(0,(EOMONTH(H$4,0)+1-$C133)/(EDATE($C133,$E133)-$C133)))*$F133/12+IF(AND(H$4&gt;=EOMONTH($C133,0),H$4&lt;=EOMONTH($C133,11)),$G133/12,0),0)</f>
        <v>0</v>
      </c>
      <c r="I133" s="75">
        <f t="shared" ref="I133:BC138" si="267">IFERROR(MIN(1,MAX(0,(EOMONTH(I$4,0)+1-$C133)/(EDATE($C133,$E133)-$C133)))*$F133/12+IF(AND(I$4&gt;=EOMONTH($C133,0),I$4&lt;=EOMONTH($C133,11)),$G133/12,0),0)</f>
        <v>0</v>
      </c>
      <c r="J133" s="75">
        <f t="shared" si="267"/>
        <v>0</v>
      </c>
      <c r="K133" s="75">
        <f t="shared" si="267"/>
        <v>0</v>
      </c>
      <c r="L133" s="75">
        <f t="shared" si="267"/>
        <v>0</v>
      </c>
      <c r="M133" s="75">
        <f t="shared" si="267"/>
        <v>0</v>
      </c>
      <c r="N133" s="75">
        <f t="shared" si="267"/>
        <v>0</v>
      </c>
      <c r="O133" s="75">
        <f t="shared" si="267"/>
        <v>0</v>
      </c>
      <c r="P133" s="75">
        <f t="shared" si="267"/>
        <v>0</v>
      </c>
      <c r="Q133" s="75">
        <f t="shared" si="267"/>
        <v>0</v>
      </c>
      <c r="R133" s="75">
        <f t="shared" si="267"/>
        <v>0</v>
      </c>
      <c r="S133" s="75">
        <f t="shared" si="267"/>
        <v>0</v>
      </c>
      <c r="T133" s="75">
        <f t="shared" si="267"/>
        <v>0</v>
      </c>
      <c r="U133" s="75">
        <f t="shared" si="267"/>
        <v>0</v>
      </c>
      <c r="V133" s="75">
        <f t="shared" si="267"/>
        <v>0</v>
      </c>
      <c r="W133" s="75">
        <f t="shared" si="267"/>
        <v>0</v>
      </c>
      <c r="X133" s="75">
        <f t="shared" si="267"/>
        <v>0</v>
      </c>
      <c r="Y133" s="75">
        <f t="shared" si="267"/>
        <v>0</v>
      </c>
      <c r="Z133" s="75">
        <f t="shared" si="267"/>
        <v>0</v>
      </c>
      <c r="AA133" s="75">
        <f t="shared" si="267"/>
        <v>0</v>
      </c>
      <c r="AB133" s="75">
        <f t="shared" si="267"/>
        <v>0</v>
      </c>
      <c r="AC133" s="75">
        <f t="shared" si="267"/>
        <v>0</v>
      </c>
      <c r="AD133" s="75">
        <f t="shared" si="267"/>
        <v>0</v>
      </c>
      <c r="AE133" s="75">
        <f t="shared" si="267"/>
        <v>0</v>
      </c>
      <c r="AF133" s="75">
        <f t="shared" si="267"/>
        <v>0</v>
      </c>
      <c r="AG133" s="75">
        <f t="shared" si="267"/>
        <v>0</v>
      </c>
      <c r="AH133" s="75">
        <f t="shared" si="267"/>
        <v>0</v>
      </c>
      <c r="AI133" s="75">
        <f t="shared" si="267"/>
        <v>0</v>
      </c>
      <c r="AJ133" s="75">
        <f t="shared" si="267"/>
        <v>0</v>
      </c>
      <c r="AK133" s="75">
        <f t="shared" si="267"/>
        <v>0</v>
      </c>
      <c r="AL133" s="75">
        <f t="shared" si="267"/>
        <v>0</v>
      </c>
      <c r="AM133" s="75">
        <f t="shared" si="267"/>
        <v>0</v>
      </c>
      <c r="AN133" s="75">
        <f t="shared" si="267"/>
        <v>0</v>
      </c>
      <c r="AO133" s="75">
        <f t="shared" si="267"/>
        <v>0</v>
      </c>
      <c r="AP133" s="75">
        <f t="shared" si="267"/>
        <v>0</v>
      </c>
      <c r="AQ133" s="75">
        <f t="shared" si="267"/>
        <v>0</v>
      </c>
      <c r="AR133" s="75">
        <f t="shared" si="267"/>
        <v>0</v>
      </c>
      <c r="AS133" s="75">
        <f t="shared" si="267"/>
        <v>0</v>
      </c>
      <c r="AT133" s="75">
        <f t="shared" si="267"/>
        <v>0</v>
      </c>
      <c r="AU133" s="75">
        <f t="shared" si="267"/>
        <v>0</v>
      </c>
      <c r="AV133" s="75">
        <f t="shared" si="267"/>
        <v>0</v>
      </c>
      <c r="AW133" s="75">
        <f t="shared" si="267"/>
        <v>0</v>
      </c>
      <c r="AX133" s="75">
        <f t="shared" si="267"/>
        <v>0</v>
      </c>
      <c r="AY133" s="75">
        <f t="shared" si="267"/>
        <v>0</v>
      </c>
      <c r="AZ133" s="75">
        <f t="shared" si="267"/>
        <v>0</v>
      </c>
      <c r="BA133" s="75">
        <f t="shared" si="267"/>
        <v>0</v>
      </c>
      <c r="BB133" s="75">
        <f t="shared" si="267"/>
        <v>0</v>
      </c>
      <c r="BC133" s="75">
        <f t="shared" si="267"/>
        <v>0</v>
      </c>
      <c r="BD133" s="61"/>
      <c r="BE133" s="75">
        <f t="shared" si="216"/>
        <v>0</v>
      </c>
      <c r="BF133" s="75">
        <f t="shared" si="217"/>
        <v>0</v>
      </c>
      <c r="BG133" s="75">
        <f t="shared" si="217"/>
        <v>0</v>
      </c>
      <c r="BH133" s="75">
        <f t="shared" si="217"/>
        <v>0</v>
      </c>
    </row>
    <row r="134" spans="2:60" ht="21" customHeight="1" x14ac:dyDescent="0.3">
      <c r="B134" s="60" t="str">
        <f>$B$29</f>
        <v>Extended hours</v>
      </c>
      <c r="C134" s="48">
        <f>IF(C$29="","",C$29)</f>
        <v>43922</v>
      </c>
      <c r="D134" s="48" t="str">
        <f>IF(D$29="","",D$29)</f>
        <v/>
      </c>
      <c r="E134" s="47">
        <f>IF(E$29="","",E$29)</f>
        <v>1</v>
      </c>
      <c r="F134" s="79"/>
      <c r="G134" s="75"/>
      <c r="H134" s="75">
        <f>IFERROR(MIN(1,MAX(0,(EOMONTH(H$4,0)+1-$C134)/(EDATE($C134,$E134)-$C134)))*$F134/12+IF(AND(H$4&gt;=EOMONTH($C134,0),H$4&lt;=EOMONTH($C134,11)),$G134/12,0),0)</f>
        <v>0</v>
      </c>
      <c r="I134" s="75">
        <f t="shared" si="267"/>
        <v>0</v>
      </c>
      <c r="J134" s="75">
        <f t="shared" si="267"/>
        <v>0</v>
      </c>
      <c r="K134" s="75">
        <f t="shared" si="267"/>
        <v>0</v>
      </c>
      <c r="L134" s="75">
        <f t="shared" si="267"/>
        <v>0</v>
      </c>
      <c r="M134" s="75">
        <f t="shared" si="267"/>
        <v>0</v>
      </c>
      <c r="N134" s="75">
        <f t="shared" si="267"/>
        <v>0</v>
      </c>
      <c r="O134" s="75">
        <f t="shared" si="267"/>
        <v>0</v>
      </c>
      <c r="P134" s="75">
        <f t="shared" si="267"/>
        <v>0</v>
      </c>
      <c r="Q134" s="75">
        <f t="shared" si="267"/>
        <v>0</v>
      </c>
      <c r="R134" s="75">
        <f t="shared" si="267"/>
        <v>0</v>
      </c>
      <c r="S134" s="75">
        <f t="shared" si="267"/>
        <v>0</v>
      </c>
      <c r="T134" s="75">
        <f t="shared" si="267"/>
        <v>0</v>
      </c>
      <c r="U134" s="75">
        <f t="shared" si="267"/>
        <v>0</v>
      </c>
      <c r="V134" s="75">
        <f t="shared" si="267"/>
        <v>0</v>
      </c>
      <c r="W134" s="75">
        <f t="shared" si="267"/>
        <v>0</v>
      </c>
      <c r="X134" s="75">
        <f t="shared" si="267"/>
        <v>0</v>
      </c>
      <c r="Y134" s="75">
        <f t="shared" si="267"/>
        <v>0</v>
      </c>
      <c r="Z134" s="75">
        <f t="shared" si="267"/>
        <v>0</v>
      </c>
      <c r="AA134" s="75">
        <f t="shared" si="267"/>
        <v>0</v>
      </c>
      <c r="AB134" s="75">
        <f t="shared" si="267"/>
        <v>0</v>
      </c>
      <c r="AC134" s="75">
        <f t="shared" si="267"/>
        <v>0</v>
      </c>
      <c r="AD134" s="75">
        <f t="shared" si="267"/>
        <v>0</v>
      </c>
      <c r="AE134" s="75">
        <f t="shared" si="267"/>
        <v>0</v>
      </c>
      <c r="AF134" s="75">
        <f t="shared" si="267"/>
        <v>0</v>
      </c>
      <c r="AG134" s="75">
        <f t="shared" si="267"/>
        <v>0</v>
      </c>
      <c r="AH134" s="75">
        <f t="shared" si="267"/>
        <v>0</v>
      </c>
      <c r="AI134" s="75">
        <f t="shared" si="267"/>
        <v>0</v>
      </c>
      <c r="AJ134" s="75">
        <f t="shared" si="267"/>
        <v>0</v>
      </c>
      <c r="AK134" s="75">
        <f t="shared" si="267"/>
        <v>0</v>
      </c>
      <c r="AL134" s="75">
        <f t="shared" si="267"/>
        <v>0</v>
      </c>
      <c r="AM134" s="75">
        <f t="shared" si="267"/>
        <v>0</v>
      </c>
      <c r="AN134" s="75">
        <f t="shared" si="267"/>
        <v>0</v>
      </c>
      <c r="AO134" s="75">
        <f t="shared" si="267"/>
        <v>0</v>
      </c>
      <c r="AP134" s="75">
        <f t="shared" si="267"/>
        <v>0</v>
      </c>
      <c r="AQ134" s="75">
        <f t="shared" si="267"/>
        <v>0</v>
      </c>
      <c r="AR134" s="75">
        <f t="shared" si="267"/>
        <v>0</v>
      </c>
      <c r="AS134" s="75">
        <f t="shared" si="267"/>
        <v>0</v>
      </c>
      <c r="AT134" s="75">
        <f t="shared" si="267"/>
        <v>0</v>
      </c>
      <c r="AU134" s="75">
        <f t="shared" si="267"/>
        <v>0</v>
      </c>
      <c r="AV134" s="75">
        <f t="shared" si="267"/>
        <v>0</v>
      </c>
      <c r="AW134" s="75">
        <f t="shared" si="267"/>
        <v>0</v>
      </c>
      <c r="AX134" s="75">
        <f t="shared" si="267"/>
        <v>0</v>
      </c>
      <c r="AY134" s="75">
        <f t="shared" si="267"/>
        <v>0</v>
      </c>
      <c r="AZ134" s="75">
        <f t="shared" si="267"/>
        <v>0</v>
      </c>
      <c r="BA134" s="75">
        <f t="shared" si="267"/>
        <v>0</v>
      </c>
      <c r="BB134" s="75">
        <f t="shared" si="267"/>
        <v>0</v>
      </c>
      <c r="BC134" s="75">
        <f t="shared" si="267"/>
        <v>0</v>
      </c>
      <c r="BD134" s="61"/>
      <c r="BE134" s="75">
        <f t="shared" si="216"/>
        <v>0</v>
      </c>
      <c r="BF134" s="75">
        <f t="shared" si="217"/>
        <v>0</v>
      </c>
      <c r="BG134" s="75">
        <f t="shared" si="217"/>
        <v>0</v>
      </c>
      <c r="BH134" s="75">
        <f t="shared" si="217"/>
        <v>0</v>
      </c>
    </row>
    <row r="135" spans="2:60" ht="21" customHeight="1" x14ac:dyDescent="0.3">
      <c r="B135" s="60" t="str">
        <f>$B$30</f>
        <v>Multi-discliplinary Team Meetings</v>
      </c>
      <c r="C135" s="48">
        <f>IF(C$30="","",C$30)</f>
        <v>43922</v>
      </c>
      <c r="D135" s="48" t="str">
        <f>IF(D$30="","",D$30)</f>
        <v/>
      </c>
      <c r="E135" s="47">
        <f>IF(E$30="","",E$30)</f>
        <v>6</v>
      </c>
      <c r="F135" s="79">
        <f>MDT!C34</f>
        <v>0</v>
      </c>
      <c r="G135" s="75"/>
      <c r="H135" s="75">
        <f>IFERROR(MIN(1,MAX(0,(EOMONTH(H$4,0)+1-$C135)/(EDATE($C135,$E135)-$C135)))*$F135/12+IF(AND(H$4&gt;=EOMONTH($C135,0),H$4&lt;=EOMONTH($C135,11)),$G135/12,0),0)</f>
        <v>0</v>
      </c>
      <c r="I135" s="75">
        <f t="shared" si="267"/>
        <v>0</v>
      </c>
      <c r="J135" s="75">
        <f t="shared" si="267"/>
        <v>0</v>
      </c>
      <c r="K135" s="75">
        <f t="shared" si="267"/>
        <v>0</v>
      </c>
      <c r="L135" s="75">
        <f t="shared" si="267"/>
        <v>0</v>
      </c>
      <c r="M135" s="75">
        <f t="shared" si="267"/>
        <v>0</v>
      </c>
      <c r="N135" s="75">
        <f t="shared" si="267"/>
        <v>0</v>
      </c>
      <c r="O135" s="75">
        <f t="shared" si="267"/>
        <v>0</v>
      </c>
      <c r="P135" s="75">
        <f t="shared" si="267"/>
        <v>0</v>
      </c>
      <c r="Q135" s="75">
        <f t="shared" si="267"/>
        <v>0</v>
      </c>
      <c r="R135" s="75">
        <f t="shared" si="267"/>
        <v>0</v>
      </c>
      <c r="S135" s="75">
        <f t="shared" si="267"/>
        <v>0</v>
      </c>
      <c r="T135" s="75">
        <f t="shared" si="267"/>
        <v>0</v>
      </c>
      <c r="U135" s="75">
        <f t="shared" si="267"/>
        <v>0</v>
      </c>
      <c r="V135" s="75">
        <f t="shared" si="267"/>
        <v>0</v>
      </c>
      <c r="W135" s="75">
        <f t="shared" si="267"/>
        <v>0</v>
      </c>
      <c r="X135" s="75">
        <f t="shared" si="267"/>
        <v>0</v>
      </c>
      <c r="Y135" s="75">
        <f t="shared" si="267"/>
        <v>0</v>
      </c>
      <c r="Z135" s="75">
        <f t="shared" si="267"/>
        <v>0</v>
      </c>
      <c r="AA135" s="75">
        <f t="shared" si="267"/>
        <v>0</v>
      </c>
      <c r="AB135" s="75">
        <f t="shared" si="267"/>
        <v>0</v>
      </c>
      <c r="AC135" s="75">
        <f t="shared" si="267"/>
        <v>0</v>
      </c>
      <c r="AD135" s="75">
        <f t="shared" si="267"/>
        <v>0</v>
      </c>
      <c r="AE135" s="75">
        <f t="shared" si="267"/>
        <v>0</v>
      </c>
      <c r="AF135" s="75">
        <f t="shared" si="267"/>
        <v>0</v>
      </c>
      <c r="AG135" s="75">
        <f t="shared" si="267"/>
        <v>0</v>
      </c>
      <c r="AH135" s="75">
        <f t="shared" si="267"/>
        <v>0</v>
      </c>
      <c r="AI135" s="75">
        <f t="shared" si="267"/>
        <v>0</v>
      </c>
      <c r="AJ135" s="75">
        <f t="shared" si="267"/>
        <v>0</v>
      </c>
      <c r="AK135" s="75">
        <f t="shared" si="267"/>
        <v>0</v>
      </c>
      <c r="AL135" s="75">
        <f t="shared" si="267"/>
        <v>0</v>
      </c>
      <c r="AM135" s="75">
        <f t="shared" si="267"/>
        <v>0</v>
      </c>
      <c r="AN135" s="75">
        <f t="shared" si="267"/>
        <v>0</v>
      </c>
      <c r="AO135" s="75">
        <f t="shared" si="267"/>
        <v>0</v>
      </c>
      <c r="AP135" s="75">
        <f t="shared" si="267"/>
        <v>0</v>
      </c>
      <c r="AQ135" s="75">
        <f t="shared" si="267"/>
        <v>0</v>
      </c>
      <c r="AR135" s="75">
        <f t="shared" si="267"/>
        <v>0</v>
      </c>
      <c r="AS135" s="75">
        <f t="shared" si="267"/>
        <v>0</v>
      </c>
      <c r="AT135" s="75">
        <f t="shared" si="267"/>
        <v>0</v>
      </c>
      <c r="AU135" s="75">
        <f t="shared" si="267"/>
        <v>0</v>
      </c>
      <c r="AV135" s="75">
        <f t="shared" si="267"/>
        <v>0</v>
      </c>
      <c r="AW135" s="75">
        <f t="shared" si="267"/>
        <v>0</v>
      </c>
      <c r="AX135" s="75">
        <f t="shared" si="267"/>
        <v>0</v>
      </c>
      <c r="AY135" s="75">
        <f t="shared" si="267"/>
        <v>0</v>
      </c>
      <c r="AZ135" s="75">
        <f t="shared" si="267"/>
        <v>0</v>
      </c>
      <c r="BA135" s="75">
        <f t="shared" si="267"/>
        <v>0</v>
      </c>
      <c r="BB135" s="75">
        <f t="shared" si="267"/>
        <v>0</v>
      </c>
      <c r="BC135" s="75">
        <f t="shared" si="267"/>
        <v>0</v>
      </c>
      <c r="BD135" s="61"/>
      <c r="BE135" s="75">
        <f t="shared" si="216"/>
        <v>0</v>
      </c>
      <c r="BF135" s="75">
        <f t="shared" si="217"/>
        <v>0</v>
      </c>
      <c r="BG135" s="75">
        <f t="shared" si="217"/>
        <v>0</v>
      </c>
      <c r="BH135" s="75">
        <f t="shared" si="217"/>
        <v>0</v>
      </c>
    </row>
    <row r="136" spans="2:60" ht="21" customHeight="1" x14ac:dyDescent="0.3">
      <c r="B136" s="60" t="str">
        <f>$B$31</f>
        <v>Huddles</v>
      </c>
      <c r="C136" s="48">
        <f>IF(C$31="","",C$31)</f>
        <v>43922</v>
      </c>
      <c r="D136" s="48" t="str">
        <f>IF(D$31="","",D$31)</f>
        <v/>
      </c>
      <c r="E136" s="47">
        <f>IF(E$31="","",E$31)</f>
        <v>1</v>
      </c>
      <c r="F136" s="79">
        <f>Huddles!C38</f>
        <v>9360.0000000000018</v>
      </c>
      <c r="G136" s="75"/>
      <c r="H136" s="75">
        <f>IFERROR(MIN(1,MAX(0,(EOMONTH(H$4,0)+1-$C136)/(EDATE($C136,$E136)-$C136)))*$F136/12+IF(AND(H$4&gt;=EOMONTH($C136,0),H$4&lt;=EOMONTH($C136,11)),$G136/12,0),0)</f>
        <v>0</v>
      </c>
      <c r="I136" s="75">
        <f t="shared" si="267"/>
        <v>0</v>
      </c>
      <c r="J136" s="75">
        <f t="shared" si="267"/>
        <v>0</v>
      </c>
      <c r="K136" s="75">
        <f t="shared" si="267"/>
        <v>0</v>
      </c>
      <c r="L136" s="75">
        <f t="shared" si="267"/>
        <v>0</v>
      </c>
      <c r="M136" s="75">
        <f t="shared" si="267"/>
        <v>0</v>
      </c>
      <c r="N136" s="75">
        <f t="shared" si="267"/>
        <v>0</v>
      </c>
      <c r="O136" s="75">
        <f t="shared" si="267"/>
        <v>0</v>
      </c>
      <c r="P136" s="75">
        <f t="shared" si="267"/>
        <v>0</v>
      </c>
      <c r="Q136" s="75">
        <f t="shared" si="267"/>
        <v>0</v>
      </c>
      <c r="R136" s="75">
        <f t="shared" si="267"/>
        <v>0</v>
      </c>
      <c r="S136" s="75">
        <f t="shared" si="267"/>
        <v>0</v>
      </c>
      <c r="T136" s="75">
        <f t="shared" si="267"/>
        <v>780.00000000000011</v>
      </c>
      <c r="U136" s="75">
        <f t="shared" si="267"/>
        <v>780.00000000000011</v>
      </c>
      <c r="V136" s="75">
        <f t="shared" si="267"/>
        <v>780.00000000000011</v>
      </c>
      <c r="W136" s="75">
        <f t="shared" si="267"/>
        <v>780.00000000000011</v>
      </c>
      <c r="X136" s="75">
        <f t="shared" si="267"/>
        <v>780.00000000000011</v>
      </c>
      <c r="Y136" s="75">
        <f t="shared" si="267"/>
        <v>780.00000000000011</v>
      </c>
      <c r="Z136" s="75">
        <f t="shared" si="267"/>
        <v>780.00000000000011</v>
      </c>
      <c r="AA136" s="75">
        <f t="shared" si="267"/>
        <v>780.00000000000011</v>
      </c>
      <c r="AB136" s="75">
        <f t="shared" si="267"/>
        <v>780.00000000000011</v>
      </c>
      <c r="AC136" s="75">
        <f t="shared" si="267"/>
        <v>780.00000000000011</v>
      </c>
      <c r="AD136" s="75">
        <f t="shared" si="267"/>
        <v>780.00000000000011</v>
      </c>
      <c r="AE136" s="75">
        <f t="shared" si="267"/>
        <v>780.00000000000011</v>
      </c>
      <c r="AF136" s="75">
        <f t="shared" si="267"/>
        <v>780.00000000000011</v>
      </c>
      <c r="AG136" s="75">
        <f t="shared" si="267"/>
        <v>780.00000000000011</v>
      </c>
      <c r="AH136" s="75">
        <f t="shared" si="267"/>
        <v>780.00000000000011</v>
      </c>
      <c r="AI136" s="75">
        <f t="shared" si="267"/>
        <v>780.00000000000011</v>
      </c>
      <c r="AJ136" s="75">
        <f t="shared" si="267"/>
        <v>780.00000000000011</v>
      </c>
      <c r="AK136" s="75">
        <f t="shared" si="267"/>
        <v>780.00000000000011</v>
      </c>
      <c r="AL136" s="75">
        <f t="shared" si="267"/>
        <v>780.00000000000011</v>
      </c>
      <c r="AM136" s="75">
        <f t="shared" si="267"/>
        <v>780.00000000000011</v>
      </c>
      <c r="AN136" s="75">
        <f t="shared" si="267"/>
        <v>780.00000000000011</v>
      </c>
      <c r="AO136" s="75">
        <f t="shared" si="267"/>
        <v>780.00000000000011</v>
      </c>
      <c r="AP136" s="75">
        <f t="shared" si="267"/>
        <v>780.00000000000011</v>
      </c>
      <c r="AQ136" s="75">
        <f t="shared" si="267"/>
        <v>780.00000000000011</v>
      </c>
      <c r="AR136" s="75">
        <f t="shared" si="267"/>
        <v>780.00000000000011</v>
      </c>
      <c r="AS136" s="75">
        <f t="shared" si="267"/>
        <v>780.00000000000011</v>
      </c>
      <c r="AT136" s="75">
        <f t="shared" si="267"/>
        <v>780.00000000000011</v>
      </c>
      <c r="AU136" s="75">
        <f t="shared" si="267"/>
        <v>780.00000000000011</v>
      </c>
      <c r="AV136" s="75">
        <f t="shared" si="267"/>
        <v>780.00000000000011</v>
      </c>
      <c r="AW136" s="75">
        <f t="shared" si="267"/>
        <v>780.00000000000011</v>
      </c>
      <c r="AX136" s="75">
        <f t="shared" si="267"/>
        <v>780.00000000000011</v>
      </c>
      <c r="AY136" s="75">
        <f t="shared" si="267"/>
        <v>780.00000000000011</v>
      </c>
      <c r="AZ136" s="75">
        <f t="shared" si="267"/>
        <v>780.00000000000011</v>
      </c>
      <c r="BA136" s="75">
        <f t="shared" si="267"/>
        <v>780.00000000000011</v>
      </c>
      <c r="BB136" s="75">
        <f t="shared" si="267"/>
        <v>780.00000000000011</v>
      </c>
      <c r="BC136" s="75">
        <f t="shared" si="267"/>
        <v>780.00000000000011</v>
      </c>
      <c r="BD136" s="61"/>
      <c r="BE136" s="75">
        <f t="shared" si="216"/>
        <v>0</v>
      </c>
      <c r="BF136" s="75">
        <f t="shared" si="217"/>
        <v>9360.0000000000018</v>
      </c>
      <c r="BG136" s="75">
        <f t="shared" si="217"/>
        <v>9360.0000000000018</v>
      </c>
      <c r="BH136" s="75">
        <f t="shared" si="217"/>
        <v>9360.0000000000018</v>
      </c>
    </row>
    <row r="137" spans="2:60" ht="21" customHeight="1" x14ac:dyDescent="0.3">
      <c r="B137" s="60" t="str">
        <f>$B$32</f>
        <v>Health Care Assistants</v>
      </c>
      <c r="C137" s="48">
        <f>IF(C$32="","",C$32)</f>
        <v>43922</v>
      </c>
      <c r="D137" s="48" t="str">
        <f>IF(D$32="","",D$32)</f>
        <v/>
      </c>
      <c r="E137" s="47">
        <f>IF(E$32="","",E$32)</f>
        <v>6</v>
      </c>
      <c r="F137" s="79">
        <f>HCA!C34</f>
        <v>115199.99999999999</v>
      </c>
      <c r="G137" s="75"/>
      <c r="H137" s="75">
        <f>IFERROR(MIN(1,MAX(0,(EOMONTH(H$4,0)+1-$C137)/(EDATE($C137,$E137)-$C137)))*$F137/12+IF(AND(H$4&gt;=EOMONTH($C137,0),H$4&lt;=EOMONTH($C137,11)),$G137/12,0),0)</f>
        <v>0</v>
      </c>
      <c r="I137" s="75">
        <f t="shared" si="267"/>
        <v>0</v>
      </c>
      <c r="J137" s="75">
        <f t="shared" si="267"/>
        <v>0</v>
      </c>
      <c r="K137" s="75">
        <f t="shared" si="267"/>
        <v>0</v>
      </c>
      <c r="L137" s="75">
        <f t="shared" si="267"/>
        <v>0</v>
      </c>
      <c r="M137" s="75">
        <f t="shared" si="267"/>
        <v>0</v>
      </c>
      <c r="N137" s="75">
        <f t="shared" si="267"/>
        <v>0</v>
      </c>
      <c r="O137" s="75">
        <f t="shared" si="267"/>
        <v>0</v>
      </c>
      <c r="P137" s="75">
        <f t="shared" si="267"/>
        <v>0</v>
      </c>
      <c r="Q137" s="75">
        <f t="shared" si="267"/>
        <v>0</v>
      </c>
      <c r="R137" s="75">
        <f t="shared" si="267"/>
        <v>0</v>
      </c>
      <c r="S137" s="75">
        <f t="shared" si="267"/>
        <v>0</v>
      </c>
      <c r="T137" s="75">
        <f t="shared" si="267"/>
        <v>1573.7704918032784</v>
      </c>
      <c r="U137" s="75">
        <f t="shared" si="267"/>
        <v>3199.9999999999995</v>
      </c>
      <c r="V137" s="75">
        <f t="shared" si="267"/>
        <v>4773.7704918032778</v>
      </c>
      <c r="W137" s="75">
        <f t="shared" si="267"/>
        <v>6399.9999999999991</v>
      </c>
      <c r="X137" s="75">
        <f t="shared" si="267"/>
        <v>8026.2295081967204</v>
      </c>
      <c r="Y137" s="75">
        <f t="shared" si="267"/>
        <v>9599.9999999999982</v>
      </c>
      <c r="Z137" s="75">
        <f t="shared" si="267"/>
        <v>9599.9999999999982</v>
      </c>
      <c r="AA137" s="75">
        <f t="shared" si="267"/>
        <v>9599.9999999999982</v>
      </c>
      <c r="AB137" s="75">
        <f t="shared" si="267"/>
        <v>9599.9999999999982</v>
      </c>
      <c r="AC137" s="75">
        <f t="shared" si="267"/>
        <v>9599.9999999999982</v>
      </c>
      <c r="AD137" s="75">
        <f t="shared" si="267"/>
        <v>9599.9999999999982</v>
      </c>
      <c r="AE137" s="75">
        <f t="shared" si="267"/>
        <v>9599.9999999999982</v>
      </c>
      <c r="AF137" s="75">
        <f t="shared" si="267"/>
        <v>9599.9999999999982</v>
      </c>
      <c r="AG137" s="75">
        <f t="shared" si="267"/>
        <v>9599.9999999999982</v>
      </c>
      <c r="AH137" s="75">
        <f t="shared" si="267"/>
        <v>9599.9999999999982</v>
      </c>
      <c r="AI137" s="75">
        <f t="shared" si="267"/>
        <v>9599.9999999999982</v>
      </c>
      <c r="AJ137" s="75">
        <f t="shared" si="267"/>
        <v>9599.9999999999982</v>
      </c>
      <c r="AK137" s="75">
        <f t="shared" si="267"/>
        <v>9599.9999999999982</v>
      </c>
      <c r="AL137" s="75">
        <f t="shared" si="267"/>
        <v>9599.9999999999982</v>
      </c>
      <c r="AM137" s="75">
        <f t="shared" si="267"/>
        <v>9599.9999999999982</v>
      </c>
      <c r="AN137" s="75">
        <f t="shared" si="267"/>
        <v>9599.9999999999982</v>
      </c>
      <c r="AO137" s="75">
        <f t="shared" si="267"/>
        <v>9599.9999999999982</v>
      </c>
      <c r="AP137" s="75">
        <f t="shared" si="267"/>
        <v>9599.9999999999982</v>
      </c>
      <c r="AQ137" s="75">
        <f t="shared" si="267"/>
        <v>9599.9999999999982</v>
      </c>
      <c r="AR137" s="75">
        <f t="shared" si="267"/>
        <v>9599.9999999999982</v>
      </c>
      <c r="AS137" s="75">
        <f t="shared" si="267"/>
        <v>9599.9999999999982</v>
      </c>
      <c r="AT137" s="75">
        <f t="shared" si="267"/>
        <v>9599.9999999999982</v>
      </c>
      <c r="AU137" s="75">
        <f t="shared" si="267"/>
        <v>9599.9999999999982</v>
      </c>
      <c r="AV137" s="75">
        <f t="shared" si="267"/>
        <v>9599.9999999999982</v>
      </c>
      <c r="AW137" s="75">
        <f t="shared" si="267"/>
        <v>9599.9999999999982</v>
      </c>
      <c r="AX137" s="75">
        <f t="shared" si="267"/>
        <v>9599.9999999999982</v>
      </c>
      <c r="AY137" s="75">
        <f t="shared" si="267"/>
        <v>9599.9999999999982</v>
      </c>
      <c r="AZ137" s="75">
        <f t="shared" si="267"/>
        <v>9599.9999999999982</v>
      </c>
      <c r="BA137" s="75">
        <f t="shared" si="267"/>
        <v>9599.9999999999982</v>
      </c>
      <c r="BB137" s="75">
        <f t="shared" si="267"/>
        <v>9599.9999999999982</v>
      </c>
      <c r="BC137" s="75">
        <f t="shared" si="267"/>
        <v>9599.9999999999982</v>
      </c>
      <c r="BD137" s="61"/>
      <c r="BE137" s="75">
        <f t="shared" si="216"/>
        <v>0</v>
      </c>
      <c r="BF137" s="75">
        <f t="shared" si="217"/>
        <v>91173.770491803269</v>
      </c>
      <c r="BG137" s="75">
        <f t="shared" si="217"/>
        <v>115199.99999999999</v>
      </c>
      <c r="BH137" s="75">
        <f t="shared" si="217"/>
        <v>115199.99999999999</v>
      </c>
    </row>
    <row r="138" spans="2:60" ht="21" customHeight="1" x14ac:dyDescent="0.3">
      <c r="B138" s="60" t="str">
        <f>$B$33</f>
        <v>Patient portals</v>
      </c>
      <c r="C138" s="48">
        <f>IF(C$33="","",C$33)</f>
        <v>43922</v>
      </c>
      <c r="D138" s="48" t="str">
        <f>IF(D$33="","",D$33)</f>
        <v/>
      </c>
      <c r="E138" s="47">
        <f>IF(E$33="","",E$33)</f>
        <v>36</v>
      </c>
      <c r="F138" s="79"/>
      <c r="G138" s="75"/>
      <c r="H138" s="75">
        <f>IFERROR(MIN(1,MAX(0,(EOMONTH(H$4,0)+1-$C138)/(EDATE($C138,$E138)-$C138)))*$F138/12+IF(AND(H$4&gt;=EOMONTH($C138,0),H$4&lt;=EOMONTH($C138,11)),$G138/12,0),0)</f>
        <v>0</v>
      </c>
      <c r="I138" s="75">
        <f t="shared" si="267"/>
        <v>0</v>
      </c>
      <c r="J138" s="75">
        <f t="shared" si="267"/>
        <v>0</v>
      </c>
      <c r="K138" s="75">
        <f t="shared" si="267"/>
        <v>0</v>
      </c>
      <c r="L138" s="75">
        <f t="shared" si="267"/>
        <v>0</v>
      </c>
      <c r="M138" s="75">
        <f t="shared" si="267"/>
        <v>0</v>
      </c>
      <c r="N138" s="75">
        <f t="shared" si="267"/>
        <v>0</v>
      </c>
      <c r="O138" s="75">
        <f t="shared" si="267"/>
        <v>0</v>
      </c>
      <c r="P138" s="75">
        <f t="shared" si="267"/>
        <v>0</v>
      </c>
      <c r="Q138" s="75">
        <f t="shared" si="267"/>
        <v>0</v>
      </c>
      <c r="R138" s="75">
        <f t="shared" si="267"/>
        <v>0</v>
      </c>
      <c r="S138" s="75">
        <f t="shared" si="267"/>
        <v>0</v>
      </c>
      <c r="T138" s="75">
        <f t="shared" si="267"/>
        <v>0</v>
      </c>
      <c r="U138" s="75">
        <f t="shared" si="267"/>
        <v>0</v>
      </c>
      <c r="V138" s="75">
        <f t="shared" si="267"/>
        <v>0</v>
      </c>
      <c r="W138" s="75">
        <f t="shared" si="267"/>
        <v>0</v>
      </c>
      <c r="X138" s="75">
        <f t="shared" si="267"/>
        <v>0</v>
      </c>
      <c r="Y138" s="75">
        <f t="shared" si="267"/>
        <v>0</v>
      </c>
      <c r="Z138" s="75">
        <f t="shared" si="267"/>
        <v>0</v>
      </c>
      <c r="AA138" s="75">
        <f t="shared" si="267"/>
        <v>0</v>
      </c>
      <c r="AB138" s="75">
        <f t="shared" si="267"/>
        <v>0</v>
      </c>
      <c r="AC138" s="75">
        <f t="shared" ref="AC138:BC138" si="268">IFERROR(MIN(1,MAX(0,(EOMONTH(AC$4,0)+1-$C138)/(EDATE($C138,$E138)-$C138)))*$F138/12+IF(AND(AC$4&gt;=EOMONTH($C138,0),AC$4&lt;=EOMONTH($C138,11)),$G138/12,0),0)</f>
        <v>0</v>
      </c>
      <c r="AD138" s="75">
        <f t="shared" si="268"/>
        <v>0</v>
      </c>
      <c r="AE138" s="75">
        <f t="shared" si="268"/>
        <v>0</v>
      </c>
      <c r="AF138" s="75">
        <f t="shared" si="268"/>
        <v>0</v>
      </c>
      <c r="AG138" s="75">
        <f t="shared" si="268"/>
        <v>0</v>
      </c>
      <c r="AH138" s="75">
        <f t="shared" si="268"/>
        <v>0</v>
      </c>
      <c r="AI138" s="75">
        <f t="shared" si="268"/>
        <v>0</v>
      </c>
      <c r="AJ138" s="75">
        <f t="shared" si="268"/>
        <v>0</v>
      </c>
      <c r="AK138" s="75">
        <f t="shared" si="268"/>
        <v>0</v>
      </c>
      <c r="AL138" s="75">
        <f t="shared" si="268"/>
        <v>0</v>
      </c>
      <c r="AM138" s="75">
        <f t="shared" si="268"/>
        <v>0</v>
      </c>
      <c r="AN138" s="75">
        <f t="shared" si="268"/>
        <v>0</v>
      </c>
      <c r="AO138" s="75">
        <f t="shared" si="268"/>
        <v>0</v>
      </c>
      <c r="AP138" s="75">
        <f t="shared" si="268"/>
        <v>0</v>
      </c>
      <c r="AQ138" s="75">
        <f t="shared" si="268"/>
        <v>0</v>
      </c>
      <c r="AR138" s="75">
        <f t="shared" si="268"/>
        <v>0</v>
      </c>
      <c r="AS138" s="75">
        <f t="shared" si="268"/>
        <v>0</v>
      </c>
      <c r="AT138" s="75">
        <f t="shared" si="268"/>
        <v>0</v>
      </c>
      <c r="AU138" s="75">
        <f t="shared" si="268"/>
        <v>0</v>
      </c>
      <c r="AV138" s="75">
        <f t="shared" si="268"/>
        <v>0</v>
      </c>
      <c r="AW138" s="75">
        <f t="shared" si="268"/>
        <v>0</v>
      </c>
      <c r="AX138" s="75">
        <f t="shared" si="268"/>
        <v>0</v>
      </c>
      <c r="AY138" s="75">
        <f t="shared" si="268"/>
        <v>0</v>
      </c>
      <c r="AZ138" s="75">
        <f t="shared" si="268"/>
        <v>0</v>
      </c>
      <c r="BA138" s="75">
        <f t="shared" si="268"/>
        <v>0</v>
      </c>
      <c r="BB138" s="75">
        <f t="shared" si="268"/>
        <v>0</v>
      </c>
      <c r="BC138" s="75">
        <f t="shared" si="268"/>
        <v>0</v>
      </c>
      <c r="BD138" s="61"/>
      <c r="BE138" s="75">
        <f t="shared" si="216"/>
        <v>0</v>
      </c>
      <c r="BF138" s="75">
        <f t="shared" si="217"/>
        <v>0</v>
      </c>
      <c r="BG138" s="75">
        <f t="shared" si="217"/>
        <v>0</v>
      </c>
      <c r="BH138" s="75">
        <f t="shared" si="217"/>
        <v>0</v>
      </c>
    </row>
    <row r="139" spans="2:60" ht="21" customHeight="1" x14ac:dyDescent="0.3">
      <c r="B139" s="60" t="str">
        <f>$B$34</f>
        <v>Other (staff release for training and implementation activity)</v>
      </c>
      <c r="C139" s="48">
        <f>IF(C$34="","",C$34)</f>
        <v>43922</v>
      </c>
      <c r="D139" s="48">
        <f>IF(D$34="","",D$34)</f>
        <v>44651</v>
      </c>
      <c r="E139" s="47">
        <f>IF(E$34="","",E$34)</f>
        <v>1</v>
      </c>
      <c r="F139" s="79"/>
      <c r="G139" s="75">
        <f>Other!C74*60</f>
        <v>0</v>
      </c>
      <c r="H139" s="75">
        <f>IFERROR(MIN(1,MAX(0,(EOMONTH(H$4,0)+1-$C139)/(EDATE($C139,$E139)-$C139)))*$F139/12+IF(AND(H$4&gt;=EOMONTH($C139,0),H$4&lt;=EOMONTH($C139,11)),$G139/12,0),0)</f>
        <v>0</v>
      </c>
      <c r="I139" s="75">
        <f t="shared" ref="I139:BC139" si="269">IFERROR(MIN(1,MAX(0,(EOMONTH(I$4,0)+1-$C139)/(EDATE($C139,$E139)-$C139)))*$F139/12+IF(AND(I$4&gt;=EOMONTH($C139,0),I$4&lt;=EOMONTH($C139,11)),$G139/12,0),0)</f>
        <v>0</v>
      </c>
      <c r="J139" s="75">
        <f t="shared" si="269"/>
        <v>0</v>
      </c>
      <c r="K139" s="75">
        <f t="shared" si="269"/>
        <v>0</v>
      </c>
      <c r="L139" s="75">
        <f t="shared" si="269"/>
        <v>0</v>
      </c>
      <c r="M139" s="75">
        <f t="shared" si="269"/>
        <v>0</v>
      </c>
      <c r="N139" s="75">
        <f t="shared" si="269"/>
        <v>0</v>
      </c>
      <c r="O139" s="75">
        <f t="shared" si="269"/>
        <v>0</v>
      </c>
      <c r="P139" s="75">
        <f t="shared" si="269"/>
        <v>0</v>
      </c>
      <c r="Q139" s="75">
        <f t="shared" si="269"/>
        <v>0</v>
      </c>
      <c r="R139" s="75">
        <f t="shared" si="269"/>
        <v>0</v>
      </c>
      <c r="S139" s="75">
        <f t="shared" si="269"/>
        <v>0</v>
      </c>
      <c r="T139" s="75">
        <f t="shared" si="269"/>
        <v>0</v>
      </c>
      <c r="U139" s="75">
        <f t="shared" si="269"/>
        <v>0</v>
      </c>
      <c r="V139" s="75">
        <f t="shared" si="269"/>
        <v>0</v>
      </c>
      <c r="W139" s="75">
        <f t="shared" si="269"/>
        <v>0</v>
      </c>
      <c r="X139" s="75">
        <f t="shared" si="269"/>
        <v>0</v>
      </c>
      <c r="Y139" s="75">
        <f t="shared" si="269"/>
        <v>0</v>
      </c>
      <c r="Z139" s="75">
        <f t="shared" si="269"/>
        <v>0</v>
      </c>
      <c r="AA139" s="75">
        <f t="shared" si="269"/>
        <v>0</v>
      </c>
      <c r="AB139" s="75">
        <f t="shared" si="269"/>
        <v>0</v>
      </c>
      <c r="AC139" s="75">
        <f t="shared" si="269"/>
        <v>0</v>
      </c>
      <c r="AD139" s="75">
        <f t="shared" si="269"/>
        <v>0</v>
      </c>
      <c r="AE139" s="75">
        <f t="shared" si="269"/>
        <v>0</v>
      </c>
      <c r="AF139" s="75">
        <f t="shared" si="269"/>
        <v>0</v>
      </c>
      <c r="AG139" s="75">
        <f t="shared" si="269"/>
        <v>0</v>
      </c>
      <c r="AH139" s="75">
        <f t="shared" si="269"/>
        <v>0</v>
      </c>
      <c r="AI139" s="75">
        <f t="shared" si="269"/>
        <v>0</v>
      </c>
      <c r="AJ139" s="75">
        <f t="shared" si="269"/>
        <v>0</v>
      </c>
      <c r="AK139" s="75">
        <f t="shared" si="269"/>
        <v>0</v>
      </c>
      <c r="AL139" s="75">
        <f t="shared" si="269"/>
        <v>0</v>
      </c>
      <c r="AM139" s="75">
        <f t="shared" si="269"/>
        <v>0</v>
      </c>
      <c r="AN139" s="75">
        <f t="shared" si="269"/>
        <v>0</v>
      </c>
      <c r="AO139" s="75">
        <f t="shared" si="269"/>
        <v>0</v>
      </c>
      <c r="AP139" s="75">
        <f t="shared" si="269"/>
        <v>0</v>
      </c>
      <c r="AQ139" s="75">
        <f t="shared" si="269"/>
        <v>0</v>
      </c>
      <c r="AR139" s="75">
        <f t="shared" si="269"/>
        <v>0</v>
      </c>
      <c r="AS139" s="75">
        <f t="shared" si="269"/>
        <v>0</v>
      </c>
      <c r="AT139" s="75">
        <f t="shared" si="269"/>
        <v>0</v>
      </c>
      <c r="AU139" s="75">
        <f t="shared" si="269"/>
        <v>0</v>
      </c>
      <c r="AV139" s="75">
        <f t="shared" si="269"/>
        <v>0</v>
      </c>
      <c r="AW139" s="75">
        <f t="shared" si="269"/>
        <v>0</v>
      </c>
      <c r="AX139" s="75">
        <f t="shared" si="269"/>
        <v>0</v>
      </c>
      <c r="AY139" s="75">
        <f t="shared" si="269"/>
        <v>0</v>
      </c>
      <c r="AZ139" s="75">
        <f t="shared" si="269"/>
        <v>0</v>
      </c>
      <c r="BA139" s="75">
        <f t="shared" si="269"/>
        <v>0</v>
      </c>
      <c r="BB139" s="75">
        <f t="shared" si="269"/>
        <v>0</v>
      </c>
      <c r="BC139" s="75">
        <f t="shared" si="269"/>
        <v>0</v>
      </c>
      <c r="BD139" s="61"/>
      <c r="BE139" s="75">
        <f t="shared" si="216"/>
        <v>0</v>
      </c>
      <c r="BF139" s="75">
        <f t="shared" si="217"/>
        <v>0</v>
      </c>
      <c r="BG139" s="75">
        <f t="shared" si="217"/>
        <v>0</v>
      </c>
      <c r="BH139" s="75">
        <f t="shared" si="217"/>
        <v>0</v>
      </c>
    </row>
    <row r="140" spans="2:60" ht="21" customHeight="1" x14ac:dyDescent="0.3">
      <c r="B140" s="49"/>
      <c r="C140" s="49"/>
      <c r="D140" s="49"/>
      <c r="E140" s="49"/>
    </row>
    <row r="141" spans="2:60" ht="21" customHeight="1" x14ac:dyDescent="0.3">
      <c r="B141" s="60" t="s">
        <v>152</v>
      </c>
      <c r="C141" s="48"/>
      <c r="D141" s="48"/>
      <c r="E141" s="47">
        <f>IF(E119="","",E119)</f>
        <v>1</v>
      </c>
      <c r="F141" s="19">
        <f>SUM(F124:F139)</f>
        <v>124559.99999999999</v>
      </c>
      <c r="H141" s="79">
        <f t="shared" ref="H141:BC141" si="270">SUM(H124:H139)</f>
        <v>0</v>
      </c>
      <c r="I141" s="79">
        <f t="shared" si="270"/>
        <v>0</v>
      </c>
      <c r="J141" s="79">
        <f t="shared" si="270"/>
        <v>0</v>
      </c>
      <c r="K141" s="79">
        <f t="shared" si="270"/>
        <v>0</v>
      </c>
      <c r="L141" s="79">
        <f t="shared" si="270"/>
        <v>0</v>
      </c>
      <c r="M141" s="79">
        <f t="shared" si="270"/>
        <v>0</v>
      </c>
      <c r="N141" s="79">
        <f t="shared" si="270"/>
        <v>0</v>
      </c>
      <c r="O141" s="79">
        <f t="shared" si="270"/>
        <v>0</v>
      </c>
      <c r="P141" s="79">
        <f t="shared" si="270"/>
        <v>0</v>
      </c>
      <c r="Q141" s="79">
        <f t="shared" si="270"/>
        <v>0</v>
      </c>
      <c r="R141" s="79">
        <f t="shared" si="270"/>
        <v>0</v>
      </c>
      <c r="S141" s="79">
        <f t="shared" si="270"/>
        <v>0</v>
      </c>
      <c r="T141" s="79">
        <f t="shared" si="270"/>
        <v>2353.7704918032787</v>
      </c>
      <c r="U141" s="79">
        <f t="shared" si="270"/>
        <v>3979.9999999999995</v>
      </c>
      <c r="V141" s="79">
        <f t="shared" si="270"/>
        <v>5553.7704918032778</v>
      </c>
      <c r="W141" s="79">
        <f t="shared" si="270"/>
        <v>7179.9999999999991</v>
      </c>
      <c r="X141" s="79">
        <f t="shared" si="270"/>
        <v>8806.2295081967204</v>
      </c>
      <c r="Y141" s="79">
        <f t="shared" si="270"/>
        <v>10379.999999999998</v>
      </c>
      <c r="Z141" s="79">
        <f t="shared" si="270"/>
        <v>10379.999999999998</v>
      </c>
      <c r="AA141" s="79">
        <f t="shared" si="270"/>
        <v>10379.999999999998</v>
      </c>
      <c r="AB141" s="79">
        <f t="shared" si="270"/>
        <v>10379.999999999998</v>
      </c>
      <c r="AC141" s="79">
        <f t="shared" si="270"/>
        <v>10379.999999999998</v>
      </c>
      <c r="AD141" s="79">
        <f t="shared" si="270"/>
        <v>10379.999999999998</v>
      </c>
      <c r="AE141" s="79">
        <f t="shared" si="270"/>
        <v>10379.999999999998</v>
      </c>
      <c r="AF141" s="79">
        <f t="shared" si="270"/>
        <v>10379.999999999998</v>
      </c>
      <c r="AG141" s="79">
        <f t="shared" si="270"/>
        <v>10379.999999999998</v>
      </c>
      <c r="AH141" s="79">
        <f t="shared" si="270"/>
        <v>10379.999999999998</v>
      </c>
      <c r="AI141" s="79">
        <f t="shared" si="270"/>
        <v>10379.999999999998</v>
      </c>
      <c r="AJ141" s="79">
        <f t="shared" si="270"/>
        <v>10379.999999999998</v>
      </c>
      <c r="AK141" s="79">
        <f t="shared" si="270"/>
        <v>10379.999999999998</v>
      </c>
      <c r="AL141" s="79">
        <f t="shared" si="270"/>
        <v>10379.999999999998</v>
      </c>
      <c r="AM141" s="79">
        <f t="shared" si="270"/>
        <v>10379.999999999998</v>
      </c>
      <c r="AN141" s="79">
        <f t="shared" si="270"/>
        <v>10379.999999999998</v>
      </c>
      <c r="AO141" s="79">
        <f t="shared" si="270"/>
        <v>10379.999999999998</v>
      </c>
      <c r="AP141" s="79">
        <f t="shared" si="270"/>
        <v>10379.999999999998</v>
      </c>
      <c r="AQ141" s="79">
        <f t="shared" si="270"/>
        <v>10379.999999999998</v>
      </c>
      <c r="AR141" s="79">
        <f t="shared" si="270"/>
        <v>10379.999999999998</v>
      </c>
      <c r="AS141" s="79">
        <f t="shared" si="270"/>
        <v>10379.999999999998</v>
      </c>
      <c r="AT141" s="79">
        <f t="shared" si="270"/>
        <v>10379.999999999998</v>
      </c>
      <c r="AU141" s="79">
        <f t="shared" si="270"/>
        <v>10379.999999999998</v>
      </c>
      <c r="AV141" s="79">
        <f t="shared" si="270"/>
        <v>10379.999999999998</v>
      </c>
      <c r="AW141" s="79">
        <f t="shared" si="270"/>
        <v>10379.999999999998</v>
      </c>
      <c r="AX141" s="79">
        <f t="shared" si="270"/>
        <v>10379.999999999998</v>
      </c>
      <c r="AY141" s="79">
        <f t="shared" si="270"/>
        <v>10379.999999999998</v>
      </c>
      <c r="AZ141" s="79">
        <f t="shared" si="270"/>
        <v>10379.999999999998</v>
      </c>
      <c r="BA141" s="79">
        <f t="shared" si="270"/>
        <v>10379.999999999998</v>
      </c>
      <c r="BB141" s="79">
        <f t="shared" si="270"/>
        <v>10379.999999999998</v>
      </c>
      <c r="BC141" s="79">
        <f t="shared" si="270"/>
        <v>10379.999999999998</v>
      </c>
      <c r="BD141" s="61"/>
      <c r="BE141" s="79">
        <f>SUMIF($H$3:$BD$3,BE$3,$H141:$BD141)</f>
        <v>0</v>
      </c>
      <c r="BF141" s="79">
        <f t="shared" ref="BF141:BH141" si="271">SUMIF($H$3:$BD$3,BF$3,$H141:$BD141)</f>
        <v>100533.77049180327</v>
      </c>
      <c r="BG141" s="79">
        <f t="shared" si="271"/>
        <v>124559.99999999999</v>
      </c>
      <c r="BH141" s="79">
        <f t="shared" si="271"/>
        <v>124559.99999999999</v>
      </c>
    </row>
    <row r="143" spans="2:60" ht="21" customHeight="1" x14ac:dyDescent="0.3">
      <c r="B143" s="58" t="s">
        <v>91</v>
      </c>
      <c r="C143" s="53" t="s">
        <v>37</v>
      </c>
      <c r="D143" s="53" t="s">
        <v>115</v>
      </c>
      <c r="E143" s="53" t="s">
        <v>38</v>
      </c>
      <c r="F143" s="53" t="s">
        <v>19</v>
      </c>
      <c r="G143" s="53" t="s">
        <v>215</v>
      </c>
      <c r="H143" s="59">
        <f>H$4</f>
        <v>43585</v>
      </c>
      <c r="I143" s="59">
        <f t="shared" ref="I143:BC143" si="272">I$4</f>
        <v>43616</v>
      </c>
      <c r="J143" s="59">
        <f t="shared" si="272"/>
        <v>43646</v>
      </c>
      <c r="K143" s="59">
        <f t="shared" si="272"/>
        <v>43677</v>
      </c>
      <c r="L143" s="59">
        <f t="shared" si="272"/>
        <v>43708</v>
      </c>
      <c r="M143" s="59">
        <f t="shared" si="272"/>
        <v>43738</v>
      </c>
      <c r="N143" s="59">
        <f t="shared" si="272"/>
        <v>43769</v>
      </c>
      <c r="O143" s="59">
        <f t="shared" si="272"/>
        <v>43799</v>
      </c>
      <c r="P143" s="59">
        <f t="shared" si="272"/>
        <v>43830</v>
      </c>
      <c r="Q143" s="59">
        <f t="shared" si="272"/>
        <v>43861</v>
      </c>
      <c r="R143" s="59">
        <f t="shared" si="272"/>
        <v>43890</v>
      </c>
      <c r="S143" s="59">
        <f t="shared" si="272"/>
        <v>43921</v>
      </c>
      <c r="T143" s="59">
        <f t="shared" si="272"/>
        <v>43951</v>
      </c>
      <c r="U143" s="59">
        <f t="shared" si="272"/>
        <v>43982</v>
      </c>
      <c r="V143" s="59">
        <f t="shared" si="272"/>
        <v>44012</v>
      </c>
      <c r="W143" s="59">
        <f t="shared" si="272"/>
        <v>44043</v>
      </c>
      <c r="X143" s="59">
        <f t="shared" si="272"/>
        <v>44074</v>
      </c>
      <c r="Y143" s="59">
        <f t="shared" si="272"/>
        <v>44104</v>
      </c>
      <c r="Z143" s="59">
        <f t="shared" si="272"/>
        <v>44135</v>
      </c>
      <c r="AA143" s="59">
        <f t="shared" si="272"/>
        <v>44165</v>
      </c>
      <c r="AB143" s="59">
        <f t="shared" si="272"/>
        <v>44196</v>
      </c>
      <c r="AC143" s="59">
        <f t="shared" si="272"/>
        <v>44227</v>
      </c>
      <c r="AD143" s="59">
        <f t="shared" si="272"/>
        <v>44255</v>
      </c>
      <c r="AE143" s="59">
        <f t="shared" si="272"/>
        <v>44286</v>
      </c>
      <c r="AF143" s="59">
        <f t="shared" si="272"/>
        <v>44316</v>
      </c>
      <c r="AG143" s="59">
        <f t="shared" si="272"/>
        <v>44347</v>
      </c>
      <c r="AH143" s="59">
        <f t="shared" si="272"/>
        <v>44377</v>
      </c>
      <c r="AI143" s="59">
        <f t="shared" si="272"/>
        <v>44408</v>
      </c>
      <c r="AJ143" s="59">
        <f t="shared" si="272"/>
        <v>44439</v>
      </c>
      <c r="AK143" s="59">
        <f t="shared" si="272"/>
        <v>44469</v>
      </c>
      <c r="AL143" s="59">
        <f t="shared" si="272"/>
        <v>44500</v>
      </c>
      <c r="AM143" s="59">
        <f t="shared" si="272"/>
        <v>44530</v>
      </c>
      <c r="AN143" s="59">
        <f t="shared" si="272"/>
        <v>44561</v>
      </c>
      <c r="AO143" s="59">
        <f t="shared" si="272"/>
        <v>44592</v>
      </c>
      <c r="AP143" s="59">
        <f t="shared" si="272"/>
        <v>44620</v>
      </c>
      <c r="AQ143" s="59">
        <f t="shared" si="272"/>
        <v>44651</v>
      </c>
      <c r="AR143" s="59">
        <f t="shared" si="272"/>
        <v>44681</v>
      </c>
      <c r="AS143" s="59">
        <f t="shared" si="272"/>
        <v>44712</v>
      </c>
      <c r="AT143" s="59">
        <f t="shared" si="272"/>
        <v>44742</v>
      </c>
      <c r="AU143" s="59">
        <f t="shared" si="272"/>
        <v>44773</v>
      </c>
      <c r="AV143" s="59">
        <f t="shared" si="272"/>
        <v>44804</v>
      </c>
      <c r="AW143" s="59">
        <f t="shared" si="272"/>
        <v>44834</v>
      </c>
      <c r="AX143" s="59">
        <f t="shared" si="272"/>
        <v>44865</v>
      </c>
      <c r="AY143" s="59">
        <f t="shared" si="272"/>
        <v>44895</v>
      </c>
      <c r="AZ143" s="59">
        <f t="shared" si="272"/>
        <v>44926</v>
      </c>
      <c r="BA143" s="59">
        <f t="shared" si="272"/>
        <v>44957</v>
      </c>
      <c r="BB143" s="59">
        <f t="shared" si="272"/>
        <v>44985</v>
      </c>
      <c r="BC143" s="59">
        <f t="shared" si="272"/>
        <v>45016</v>
      </c>
      <c r="BE143" s="71">
        <f>BE$3</f>
        <v>1</v>
      </c>
      <c r="BF143" s="71">
        <f>BF$3</f>
        <v>2</v>
      </c>
      <c r="BG143" s="71">
        <f>BG$3</f>
        <v>3</v>
      </c>
      <c r="BH143" s="71">
        <f>BH$3</f>
        <v>4</v>
      </c>
    </row>
    <row r="144" spans="2:60" ht="21" customHeight="1" x14ac:dyDescent="0.3">
      <c r="B144" s="60" t="str">
        <f>$B$19</f>
        <v>Covid-19 Disruption - first period</v>
      </c>
      <c r="C144" s="48">
        <f>IF(C$19="","",C$19)</f>
        <v>43891</v>
      </c>
      <c r="D144" s="48">
        <f>IF(D$19="","",D$19)</f>
        <v>43982</v>
      </c>
      <c r="E144" s="47">
        <f>IF(E$19="","",E$19)</f>
        <v>1</v>
      </c>
      <c r="F144" s="79"/>
      <c r="G144" s="75"/>
      <c r="H144" s="79">
        <f t="shared" ref="H144:BC145" si="273">IF(H$4&gt;$D144,0,IFERROR(MIN(1,MAX(0,(EOMONTH(H$4,0)+1-$C144)/(EDATE($C144,$E144)-$C144)))*$F144/12+IF(H$3=1,$G144/12,0),0))</f>
        <v>0</v>
      </c>
      <c r="I144" s="79">
        <f t="shared" si="273"/>
        <v>0</v>
      </c>
      <c r="J144" s="79">
        <f t="shared" si="273"/>
        <v>0</v>
      </c>
      <c r="K144" s="79">
        <f t="shared" si="273"/>
        <v>0</v>
      </c>
      <c r="L144" s="79">
        <f t="shared" si="273"/>
        <v>0</v>
      </c>
      <c r="M144" s="79">
        <f t="shared" si="273"/>
        <v>0</v>
      </c>
      <c r="N144" s="79">
        <f t="shared" si="273"/>
        <v>0</v>
      </c>
      <c r="O144" s="79">
        <f t="shared" si="273"/>
        <v>0</v>
      </c>
      <c r="P144" s="79">
        <f t="shared" si="273"/>
        <v>0</v>
      </c>
      <c r="Q144" s="79">
        <f t="shared" si="273"/>
        <v>0</v>
      </c>
      <c r="R144" s="79">
        <f t="shared" si="273"/>
        <v>0</v>
      </c>
      <c r="S144" s="79">
        <f t="shared" si="273"/>
        <v>0</v>
      </c>
      <c r="T144" s="79">
        <f t="shared" si="273"/>
        <v>0</v>
      </c>
      <c r="U144" s="79">
        <f t="shared" si="273"/>
        <v>0</v>
      </c>
      <c r="V144" s="79">
        <f t="shared" si="273"/>
        <v>0</v>
      </c>
      <c r="W144" s="79">
        <f t="shared" si="273"/>
        <v>0</v>
      </c>
      <c r="X144" s="79">
        <f t="shared" si="273"/>
        <v>0</v>
      </c>
      <c r="Y144" s="79">
        <f t="shared" si="273"/>
        <v>0</v>
      </c>
      <c r="Z144" s="79">
        <f t="shared" si="273"/>
        <v>0</v>
      </c>
      <c r="AA144" s="79">
        <f t="shared" si="273"/>
        <v>0</v>
      </c>
      <c r="AB144" s="79">
        <f t="shared" si="273"/>
        <v>0</v>
      </c>
      <c r="AC144" s="79">
        <f t="shared" si="273"/>
        <v>0</v>
      </c>
      <c r="AD144" s="79">
        <f t="shared" si="273"/>
        <v>0</v>
      </c>
      <c r="AE144" s="79">
        <f t="shared" si="273"/>
        <v>0</v>
      </c>
      <c r="AF144" s="79">
        <f t="shared" si="273"/>
        <v>0</v>
      </c>
      <c r="AG144" s="79">
        <f t="shared" si="273"/>
        <v>0</v>
      </c>
      <c r="AH144" s="79">
        <f t="shared" si="273"/>
        <v>0</v>
      </c>
      <c r="AI144" s="79">
        <f t="shared" si="273"/>
        <v>0</v>
      </c>
      <c r="AJ144" s="79">
        <f t="shared" si="273"/>
        <v>0</v>
      </c>
      <c r="AK144" s="79">
        <f t="shared" si="273"/>
        <v>0</v>
      </c>
      <c r="AL144" s="79">
        <f t="shared" si="273"/>
        <v>0</v>
      </c>
      <c r="AM144" s="79">
        <f t="shared" si="273"/>
        <v>0</v>
      </c>
      <c r="AN144" s="79">
        <f t="shared" si="273"/>
        <v>0</v>
      </c>
      <c r="AO144" s="79">
        <f t="shared" si="273"/>
        <v>0</v>
      </c>
      <c r="AP144" s="79">
        <f t="shared" si="273"/>
        <v>0</v>
      </c>
      <c r="AQ144" s="79">
        <f t="shared" si="273"/>
        <v>0</v>
      </c>
      <c r="AR144" s="79">
        <f t="shared" si="273"/>
        <v>0</v>
      </c>
      <c r="AS144" s="79">
        <f t="shared" si="273"/>
        <v>0</v>
      </c>
      <c r="AT144" s="79">
        <f t="shared" si="273"/>
        <v>0</v>
      </c>
      <c r="AU144" s="79">
        <f t="shared" si="273"/>
        <v>0</v>
      </c>
      <c r="AV144" s="79">
        <f t="shared" si="273"/>
        <v>0</v>
      </c>
      <c r="AW144" s="79">
        <f t="shared" si="273"/>
        <v>0</v>
      </c>
      <c r="AX144" s="79">
        <f t="shared" si="273"/>
        <v>0</v>
      </c>
      <c r="AY144" s="79">
        <f t="shared" si="273"/>
        <v>0</v>
      </c>
      <c r="AZ144" s="79">
        <f t="shared" si="273"/>
        <v>0</v>
      </c>
      <c r="BA144" s="79">
        <f t="shared" si="273"/>
        <v>0</v>
      </c>
      <c r="BB144" s="79">
        <f t="shared" si="273"/>
        <v>0</v>
      </c>
      <c r="BC144" s="79">
        <f t="shared" si="273"/>
        <v>0</v>
      </c>
    </row>
    <row r="145" spans="2:60" ht="21" customHeight="1" x14ac:dyDescent="0.3">
      <c r="B145" s="60" t="str">
        <f>$B$20</f>
        <v>Covid-19 Disruption - second period</v>
      </c>
      <c r="C145" s="48">
        <f>IF(C$20="","",C$20)</f>
        <v>43983</v>
      </c>
      <c r="D145" s="48">
        <f>IF(D$20="","",D$20)</f>
        <v>44165</v>
      </c>
      <c r="E145" s="47">
        <f>IF(E$20="","",E$20)</f>
        <v>1</v>
      </c>
      <c r="F145" s="79"/>
      <c r="G145" s="75"/>
      <c r="H145" s="79">
        <f t="shared" si="273"/>
        <v>0</v>
      </c>
      <c r="I145" s="79">
        <f t="shared" si="273"/>
        <v>0</v>
      </c>
      <c r="J145" s="79">
        <f t="shared" si="273"/>
        <v>0</v>
      </c>
      <c r="K145" s="79">
        <f t="shared" si="273"/>
        <v>0</v>
      </c>
      <c r="L145" s="79">
        <f t="shared" si="273"/>
        <v>0</v>
      </c>
      <c r="M145" s="79">
        <f t="shared" si="273"/>
        <v>0</v>
      </c>
      <c r="N145" s="79">
        <f t="shared" si="273"/>
        <v>0</v>
      </c>
      <c r="O145" s="79">
        <f t="shared" si="273"/>
        <v>0</v>
      </c>
      <c r="P145" s="79">
        <f t="shared" si="273"/>
        <v>0</v>
      </c>
      <c r="Q145" s="79">
        <f t="shared" si="273"/>
        <v>0</v>
      </c>
      <c r="R145" s="79">
        <f t="shared" si="273"/>
        <v>0</v>
      </c>
      <c r="S145" s="79">
        <f t="shared" si="273"/>
        <v>0</v>
      </c>
      <c r="T145" s="79">
        <f t="shared" si="273"/>
        <v>0</v>
      </c>
      <c r="U145" s="79">
        <f t="shared" si="273"/>
        <v>0</v>
      </c>
      <c r="V145" s="79">
        <f t="shared" si="273"/>
        <v>0</v>
      </c>
      <c r="W145" s="79">
        <f t="shared" si="273"/>
        <v>0</v>
      </c>
      <c r="X145" s="79">
        <f t="shared" si="273"/>
        <v>0</v>
      </c>
      <c r="Y145" s="79">
        <f t="shared" si="273"/>
        <v>0</v>
      </c>
      <c r="Z145" s="79">
        <f t="shared" si="273"/>
        <v>0</v>
      </c>
      <c r="AA145" s="79">
        <f t="shared" si="273"/>
        <v>0</v>
      </c>
      <c r="AB145" s="79">
        <f t="shared" si="273"/>
        <v>0</v>
      </c>
      <c r="AC145" s="79">
        <f t="shared" si="273"/>
        <v>0</v>
      </c>
      <c r="AD145" s="79">
        <f t="shared" si="273"/>
        <v>0</v>
      </c>
      <c r="AE145" s="79">
        <f t="shared" si="273"/>
        <v>0</v>
      </c>
      <c r="AF145" s="79">
        <f t="shared" si="273"/>
        <v>0</v>
      </c>
      <c r="AG145" s="79">
        <f t="shared" si="273"/>
        <v>0</v>
      </c>
      <c r="AH145" s="79">
        <f t="shared" si="273"/>
        <v>0</v>
      </c>
      <c r="AI145" s="79">
        <f t="shared" si="273"/>
        <v>0</v>
      </c>
      <c r="AJ145" s="79">
        <f t="shared" si="273"/>
        <v>0</v>
      </c>
      <c r="AK145" s="79">
        <f t="shared" si="273"/>
        <v>0</v>
      </c>
      <c r="AL145" s="79">
        <f t="shared" si="273"/>
        <v>0</v>
      </c>
      <c r="AM145" s="79">
        <f t="shared" si="273"/>
        <v>0</v>
      </c>
      <c r="AN145" s="79">
        <f t="shared" si="273"/>
        <v>0</v>
      </c>
      <c r="AO145" s="79">
        <f t="shared" si="273"/>
        <v>0</v>
      </c>
      <c r="AP145" s="79">
        <f t="shared" si="273"/>
        <v>0</v>
      </c>
      <c r="AQ145" s="79">
        <f t="shared" si="273"/>
        <v>0</v>
      </c>
      <c r="AR145" s="79">
        <f t="shared" si="273"/>
        <v>0</v>
      </c>
      <c r="AS145" s="79">
        <f t="shared" si="273"/>
        <v>0</v>
      </c>
      <c r="AT145" s="79">
        <f t="shared" si="273"/>
        <v>0</v>
      </c>
      <c r="AU145" s="79">
        <f t="shared" si="273"/>
        <v>0</v>
      </c>
      <c r="AV145" s="79">
        <f t="shared" si="273"/>
        <v>0</v>
      </c>
      <c r="AW145" s="79">
        <f t="shared" si="273"/>
        <v>0</v>
      </c>
      <c r="AX145" s="79">
        <f t="shared" si="273"/>
        <v>0</v>
      </c>
      <c r="AY145" s="79">
        <f t="shared" si="273"/>
        <v>0</v>
      </c>
      <c r="AZ145" s="79">
        <f t="shared" si="273"/>
        <v>0</v>
      </c>
      <c r="BA145" s="79">
        <f t="shared" si="273"/>
        <v>0</v>
      </c>
      <c r="BB145" s="79">
        <f t="shared" si="273"/>
        <v>0</v>
      </c>
      <c r="BC145" s="79">
        <f t="shared" si="273"/>
        <v>0</v>
      </c>
    </row>
    <row r="146" spans="2:60" ht="21" customHeight="1" x14ac:dyDescent="0.3">
      <c r="B146" s="160" t="s">
        <v>394</v>
      </c>
      <c r="C146" s="48"/>
      <c r="D146" s="48"/>
      <c r="E146" s="47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E146" s="75">
        <f t="shared" ref="BE146:BH146" si="274">SUMIF($H$3:$BD$3,BE$3,$H146:$BD146)</f>
        <v>0</v>
      </c>
      <c r="BF146" s="75">
        <f t="shared" si="274"/>
        <v>0</v>
      </c>
      <c r="BG146" s="75">
        <f t="shared" si="274"/>
        <v>0</v>
      </c>
      <c r="BH146" s="75">
        <f t="shared" si="274"/>
        <v>0</v>
      </c>
    </row>
    <row r="147" spans="2:60" ht="21" customHeight="1" x14ac:dyDescent="0.3">
      <c r="B147" s="160" t="str">
        <f>$B$22</f>
        <v>Covid-19 Wage subsidy</v>
      </c>
      <c r="C147" s="48"/>
      <c r="D147" s="48"/>
      <c r="E147" s="47"/>
      <c r="F147" s="79"/>
      <c r="G147" s="75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</row>
    <row r="148" spans="2:60" ht="21" customHeight="1" x14ac:dyDescent="0.3">
      <c r="B148" s="60" t="str">
        <f>$B$23</f>
        <v>Call Management</v>
      </c>
      <c r="C148" s="48">
        <f>IF(C$23="","",C$23)</f>
        <v>43922</v>
      </c>
      <c r="D148" s="48" t="str">
        <f>IF(D$23="","",D$23)</f>
        <v/>
      </c>
      <c r="E148" s="47">
        <f>'Call Management'!C9</f>
        <v>1</v>
      </c>
      <c r="F148" s="79">
        <f>'Call Management'!C6</f>
        <v>115200</v>
      </c>
      <c r="G148" s="75"/>
      <c r="H148" s="75">
        <f>IFERROR(MIN(1,MAX(0,(EOMONTH(H$4,0)+1-$C148)/(EDATE($C148,$E148)-$C148)))*$F148/12+IF(AND(H$4&gt;=EOMONTH($C148,0),H$4&lt;=EOMONTH($C148,11)),$G148/12,0),0)</f>
        <v>0</v>
      </c>
      <c r="I148" s="75">
        <f t="shared" ref="I148:BC149" si="275">IFERROR(MIN(1,MAX(0,(EOMONTH(I$4,0)+1-$C148)/(EDATE($C148,$E148)-$C148)))*$F148/12+IF(AND(I$4&gt;=EOMONTH($C148,0),I$4&lt;=EOMONTH($C148,11)),$G148/12,0),0)</f>
        <v>0</v>
      </c>
      <c r="J148" s="75">
        <f t="shared" si="275"/>
        <v>0</v>
      </c>
      <c r="K148" s="75">
        <f t="shared" si="275"/>
        <v>0</v>
      </c>
      <c r="L148" s="75">
        <f t="shared" si="275"/>
        <v>0</v>
      </c>
      <c r="M148" s="75">
        <f t="shared" si="275"/>
        <v>0</v>
      </c>
      <c r="N148" s="75">
        <f t="shared" si="275"/>
        <v>0</v>
      </c>
      <c r="O148" s="75">
        <f t="shared" si="275"/>
        <v>0</v>
      </c>
      <c r="P148" s="75">
        <f t="shared" si="275"/>
        <v>0</v>
      </c>
      <c r="Q148" s="75">
        <f t="shared" si="275"/>
        <v>0</v>
      </c>
      <c r="R148" s="75">
        <f t="shared" si="275"/>
        <v>0</v>
      </c>
      <c r="S148" s="75">
        <f t="shared" si="275"/>
        <v>0</v>
      </c>
      <c r="T148" s="75">
        <f t="shared" si="275"/>
        <v>9600</v>
      </c>
      <c r="U148" s="75">
        <f t="shared" si="275"/>
        <v>9600</v>
      </c>
      <c r="V148" s="75">
        <f t="shared" si="275"/>
        <v>9600</v>
      </c>
      <c r="W148" s="75">
        <f t="shared" si="275"/>
        <v>9600</v>
      </c>
      <c r="X148" s="75">
        <f t="shared" si="275"/>
        <v>9600</v>
      </c>
      <c r="Y148" s="75">
        <f t="shared" si="275"/>
        <v>9600</v>
      </c>
      <c r="Z148" s="75">
        <f t="shared" si="275"/>
        <v>9600</v>
      </c>
      <c r="AA148" s="75">
        <f t="shared" si="275"/>
        <v>9600</v>
      </c>
      <c r="AB148" s="75">
        <f t="shared" si="275"/>
        <v>9600</v>
      </c>
      <c r="AC148" s="75">
        <f t="shared" si="275"/>
        <v>9600</v>
      </c>
      <c r="AD148" s="75">
        <f t="shared" si="275"/>
        <v>9600</v>
      </c>
      <c r="AE148" s="75">
        <f t="shared" si="275"/>
        <v>9600</v>
      </c>
      <c r="AF148" s="75">
        <f t="shared" si="275"/>
        <v>9600</v>
      </c>
      <c r="AG148" s="75">
        <f t="shared" si="275"/>
        <v>9600</v>
      </c>
      <c r="AH148" s="75">
        <f t="shared" si="275"/>
        <v>9600</v>
      </c>
      <c r="AI148" s="75">
        <f t="shared" si="275"/>
        <v>9600</v>
      </c>
      <c r="AJ148" s="75">
        <f t="shared" si="275"/>
        <v>9600</v>
      </c>
      <c r="AK148" s="75">
        <f t="shared" si="275"/>
        <v>9600</v>
      </c>
      <c r="AL148" s="75">
        <f t="shared" si="275"/>
        <v>9600</v>
      </c>
      <c r="AM148" s="75">
        <f t="shared" si="275"/>
        <v>9600</v>
      </c>
      <c r="AN148" s="75">
        <f t="shared" si="275"/>
        <v>9600</v>
      </c>
      <c r="AO148" s="75">
        <f t="shared" si="275"/>
        <v>9600</v>
      </c>
      <c r="AP148" s="75">
        <f t="shared" si="275"/>
        <v>9600</v>
      </c>
      <c r="AQ148" s="75">
        <f t="shared" si="275"/>
        <v>9600</v>
      </c>
      <c r="AR148" s="75">
        <f t="shared" si="275"/>
        <v>9600</v>
      </c>
      <c r="AS148" s="75">
        <f t="shared" si="275"/>
        <v>9600</v>
      </c>
      <c r="AT148" s="75">
        <f t="shared" si="275"/>
        <v>9600</v>
      </c>
      <c r="AU148" s="75">
        <f t="shared" si="275"/>
        <v>9600</v>
      </c>
      <c r="AV148" s="75">
        <f t="shared" si="275"/>
        <v>9600</v>
      </c>
      <c r="AW148" s="75">
        <f t="shared" si="275"/>
        <v>9600</v>
      </c>
      <c r="AX148" s="75">
        <f t="shared" si="275"/>
        <v>9600</v>
      </c>
      <c r="AY148" s="75">
        <f t="shared" si="275"/>
        <v>9600</v>
      </c>
      <c r="AZ148" s="75">
        <f t="shared" si="275"/>
        <v>9600</v>
      </c>
      <c r="BA148" s="75">
        <f t="shared" si="275"/>
        <v>9600</v>
      </c>
      <c r="BB148" s="75">
        <f t="shared" si="275"/>
        <v>9600</v>
      </c>
      <c r="BC148" s="75">
        <f t="shared" si="275"/>
        <v>9600</v>
      </c>
      <c r="BE148" s="79">
        <f t="shared" ref="BE148:BE159" si="276">SUMIF($H$3:$BD$3,BE$3,$H148:$BD148)</f>
        <v>0</v>
      </c>
      <c r="BF148" s="79">
        <f t="shared" ref="BF148:BH159" si="277">SUMIF($H$3:$BD$3,BF$3,$H148:$BD148)</f>
        <v>115200</v>
      </c>
      <c r="BG148" s="79">
        <f t="shared" si="277"/>
        <v>115200</v>
      </c>
      <c r="BH148" s="79">
        <f t="shared" si="277"/>
        <v>115200</v>
      </c>
    </row>
    <row r="149" spans="2:60" ht="21" customHeight="1" x14ac:dyDescent="0.3">
      <c r="B149" s="60" t="str">
        <f>$B$24</f>
        <v>GP triage</v>
      </c>
      <c r="C149" s="48">
        <f>IF(C$24="","",C$24)</f>
        <v>43922</v>
      </c>
      <c r="D149" s="48" t="str">
        <f>IF(D$24="","",D$24)</f>
        <v/>
      </c>
      <c r="E149" s="47">
        <f>IF(E$24="","",E$24)</f>
        <v>3</v>
      </c>
      <c r="F149" s="79">
        <f>'GP Triage'!K65</f>
        <v>0</v>
      </c>
      <c r="G149" s="75"/>
      <c r="H149" s="75">
        <f>IFERROR(MIN(1,MAX(0,(EOMONTH(H$4,0)+1-$C149)/(EDATE($C149,$E149)-$C149)))*$F149/12+IF(AND(H$4&gt;=EOMONTH($C149,0),H$4&lt;=EOMONTH($C149,11)),$G149/12,0),0)</f>
        <v>0</v>
      </c>
      <c r="I149" s="75">
        <f t="shared" si="275"/>
        <v>0</v>
      </c>
      <c r="J149" s="75">
        <f t="shared" si="275"/>
        <v>0</v>
      </c>
      <c r="K149" s="75">
        <f t="shared" si="275"/>
        <v>0</v>
      </c>
      <c r="L149" s="75">
        <f t="shared" si="275"/>
        <v>0</v>
      </c>
      <c r="M149" s="75">
        <f t="shared" si="275"/>
        <v>0</v>
      </c>
      <c r="N149" s="75">
        <f t="shared" si="275"/>
        <v>0</v>
      </c>
      <c r="O149" s="75">
        <f t="shared" si="275"/>
        <v>0</v>
      </c>
      <c r="P149" s="75">
        <f t="shared" si="275"/>
        <v>0</v>
      </c>
      <c r="Q149" s="75">
        <f t="shared" si="275"/>
        <v>0</v>
      </c>
      <c r="R149" s="75">
        <f t="shared" si="275"/>
        <v>0</v>
      </c>
      <c r="S149" s="75">
        <f t="shared" si="275"/>
        <v>0</v>
      </c>
      <c r="T149" s="75">
        <f t="shared" si="275"/>
        <v>0</v>
      </c>
      <c r="U149" s="75">
        <f t="shared" si="275"/>
        <v>0</v>
      </c>
      <c r="V149" s="75">
        <f t="shared" si="275"/>
        <v>0</v>
      </c>
      <c r="W149" s="75">
        <f t="shared" si="275"/>
        <v>0</v>
      </c>
      <c r="X149" s="75">
        <f t="shared" si="275"/>
        <v>0</v>
      </c>
      <c r="Y149" s="75">
        <f t="shared" si="275"/>
        <v>0</v>
      </c>
      <c r="Z149" s="75">
        <f t="shared" si="275"/>
        <v>0</v>
      </c>
      <c r="AA149" s="75">
        <f t="shared" si="275"/>
        <v>0</v>
      </c>
      <c r="AB149" s="75">
        <f t="shared" si="275"/>
        <v>0</v>
      </c>
      <c r="AC149" s="75">
        <f t="shared" si="275"/>
        <v>0</v>
      </c>
      <c r="AD149" s="75">
        <f t="shared" si="275"/>
        <v>0</v>
      </c>
      <c r="AE149" s="75">
        <f t="shared" si="275"/>
        <v>0</v>
      </c>
      <c r="AF149" s="75">
        <f t="shared" si="275"/>
        <v>0</v>
      </c>
      <c r="AG149" s="75">
        <f t="shared" si="275"/>
        <v>0</v>
      </c>
      <c r="AH149" s="75">
        <f t="shared" si="275"/>
        <v>0</v>
      </c>
      <c r="AI149" s="75">
        <f t="shared" si="275"/>
        <v>0</v>
      </c>
      <c r="AJ149" s="75">
        <f t="shared" si="275"/>
        <v>0</v>
      </c>
      <c r="AK149" s="75">
        <f t="shared" si="275"/>
        <v>0</v>
      </c>
      <c r="AL149" s="75">
        <f t="shared" si="275"/>
        <v>0</v>
      </c>
      <c r="AM149" s="75">
        <f t="shared" si="275"/>
        <v>0</v>
      </c>
      <c r="AN149" s="75">
        <f t="shared" si="275"/>
        <v>0</v>
      </c>
      <c r="AO149" s="75">
        <f t="shared" si="275"/>
        <v>0</v>
      </c>
      <c r="AP149" s="75">
        <f t="shared" si="275"/>
        <v>0</v>
      </c>
      <c r="AQ149" s="75">
        <f t="shared" si="275"/>
        <v>0</v>
      </c>
      <c r="AR149" s="75">
        <f t="shared" si="275"/>
        <v>0</v>
      </c>
      <c r="AS149" s="75">
        <f t="shared" si="275"/>
        <v>0</v>
      </c>
      <c r="AT149" s="75">
        <f t="shared" si="275"/>
        <v>0</v>
      </c>
      <c r="AU149" s="75">
        <f t="shared" si="275"/>
        <v>0</v>
      </c>
      <c r="AV149" s="75">
        <f t="shared" si="275"/>
        <v>0</v>
      </c>
      <c r="AW149" s="75">
        <f t="shared" si="275"/>
        <v>0</v>
      </c>
      <c r="AX149" s="75">
        <f t="shared" si="275"/>
        <v>0</v>
      </c>
      <c r="AY149" s="75">
        <f t="shared" si="275"/>
        <v>0</v>
      </c>
      <c r="AZ149" s="75">
        <f t="shared" si="275"/>
        <v>0</v>
      </c>
      <c r="BA149" s="75">
        <f t="shared" si="275"/>
        <v>0</v>
      </c>
      <c r="BB149" s="75">
        <f t="shared" si="275"/>
        <v>0</v>
      </c>
      <c r="BC149" s="75">
        <f t="shared" si="275"/>
        <v>0</v>
      </c>
      <c r="BD149" s="61"/>
      <c r="BE149" s="79">
        <f t="shared" si="276"/>
        <v>0</v>
      </c>
      <c r="BF149" s="79">
        <f t="shared" si="277"/>
        <v>0</v>
      </c>
      <c r="BG149" s="79">
        <f t="shared" si="277"/>
        <v>0</v>
      </c>
      <c r="BH149" s="79">
        <f t="shared" si="277"/>
        <v>0</v>
      </c>
    </row>
    <row r="150" spans="2:60" ht="21" customHeight="1" x14ac:dyDescent="0.3">
      <c r="B150" s="60" t="s">
        <v>354</v>
      </c>
      <c r="C150" s="48">
        <f>IF(C$25="","",C$25)</f>
        <v>43891</v>
      </c>
      <c r="D150" s="48">
        <f>IF(D$25="","",D$25)</f>
        <v>43982</v>
      </c>
      <c r="E150" s="47">
        <v>1</v>
      </c>
      <c r="F150" s="79">
        <f>'GP Triage'!L65</f>
        <v>0</v>
      </c>
      <c r="G150" s="75"/>
      <c r="H150" s="161">
        <f>IF(AND(H$5=1,$F150&lt;&gt;""),$F150/'Covid 19'!$C$7-H149,0)</f>
        <v>0</v>
      </c>
      <c r="I150" s="161">
        <f>IF(AND(I$5=1,$F150&lt;&gt;""),$F150/'Covid 19'!$C$7-I149,0)</f>
        <v>0</v>
      </c>
      <c r="J150" s="161">
        <f>IF(AND(J$5=1,$F150&lt;&gt;""),$F150/'Covid 19'!$C$7-J149,0)</f>
        <v>0</v>
      </c>
      <c r="K150" s="161">
        <f>IF(AND(K$5=1,$F150&lt;&gt;""),$F150/'Covid 19'!$C$7-K149,0)</f>
        <v>0</v>
      </c>
      <c r="L150" s="161">
        <f>IF(AND(L$5=1,$F150&lt;&gt;""),$F150/'Covid 19'!$C$7-L149,0)</f>
        <v>0</v>
      </c>
      <c r="M150" s="161">
        <f>IF(AND(M$5=1,$F150&lt;&gt;""),$F150/'Covid 19'!$C$7-M149,0)</f>
        <v>0</v>
      </c>
      <c r="N150" s="161">
        <f>IF(AND(N$5=1,$F150&lt;&gt;""),$F150/'Covid 19'!$C$7-N149,0)</f>
        <v>0</v>
      </c>
      <c r="O150" s="161">
        <f>IF(AND(O$5=1,$F150&lt;&gt;""),$F150/'Covid 19'!$C$7-O149,0)</f>
        <v>0</v>
      </c>
      <c r="P150" s="161">
        <f>IF(AND(P$5=1,$F150&lt;&gt;""),$F150/'Covid 19'!$C$7-P149,0)</f>
        <v>0</v>
      </c>
      <c r="Q150" s="161">
        <f>IF(AND(Q$5=1,$F150&lt;&gt;""),$F150/'Covid 19'!$C$7-Q149,0)</f>
        <v>0</v>
      </c>
      <c r="R150" s="161">
        <f>IF(AND(R$5=1,$F150&lt;&gt;""),$F150/'Covid 19'!$C$7-R149,0)</f>
        <v>0</v>
      </c>
      <c r="S150" s="161">
        <f>IF(AND(S$5=1,$F150&lt;&gt;""),$F150/'Covid 19'!$C$7-S149,0)</f>
        <v>0</v>
      </c>
      <c r="T150" s="161">
        <f>IF(AND(T$5=1,$F150&lt;&gt;""),$F150/'Covid 19'!$C$7-T149,0)</f>
        <v>0</v>
      </c>
      <c r="U150" s="161">
        <f>IF(AND(U$5=1,$F150&lt;&gt;""),$F150/'Covid 19'!$C$7-U149,0)</f>
        <v>0</v>
      </c>
      <c r="V150" s="161">
        <f>IF(AND(V$5=1,$F150&lt;&gt;""),$F150/'Covid 19'!$C$7-V149,0)</f>
        <v>0</v>
      </c>
      <c r="W150" s="161">
        <f>IF(AND(W$5=1,$F150&lt;&gt;""),$F150/'Covid 19'!$C$7-W149,0)</f>
        <v>0</v>
      </c>
      <c r="X150" s="161">
        <f>IF(AND(X$5=1,$F150&lt;&gt;""),$F150/'Covid 19'!$C$7-X149,0)</f>
        <v>0</v>
      </c>
      <c r="Y150" s="161">
        <f>IF(AND(Y$5=1,$F150&lt;&gt;""),$F150/'Covid 19'!$C$7-Y149,0)</f>
        <v>0</v>
      </c>
      <c r="Z150" s="161">
        <f>IF(AND(Z$5=1,$F150&lt;&gt;""),$F150/'Covid 19'!$C$7-Z149,0)</f>
        <v>0</v>
      </c>
      <c r="AA150" s="161">
        <f>IF(AND(AA$5=1,$F150&lt;&gt;""),$F150/'Covid 19'!$C$7-AA149,0)</f>
        <v>0</v>
      </c>
      <c r="AB150" s="161">
        <f>IF(AND(AB$5=1,$F150&lt;&gt;""),$F150/'Covid 19'!$C$7-AB149,0)</f>
        <v>0</v>
      </c>
      <c r="AC150" s="161">
        <f>IF(AND(AC$5=1,$F150&lt;&gt;""),$F150/'Covid 19'!$C$7-AC149,0)</f>
        <v>0</v>
      </c>
      <c r="AD150" s="161">
        <f>IF(AND(AD$5=1,$F150&lt;&gt;""),$F150/'Covid 19'!$C$7-AD149,0)</f>
        <v>0</v>
      </c>
      <c r="AE150" s="161">
        <f>IF(AND(AE$5=1,$F150&lt;&gt;""),$F150/'Covid 19'!$C$7-AE149,0)</f>
        <v>0</v>
      </c>
      <c r="AF150" s="161">
        <f>IF(AND(AF$5=1,$F150&lt;&gt;""),$F150/'Covid 19'!$C$7-AF149,0)</f>
        <v>0</v>
      </c>
      <c r="AG150" s="161">
        <f>IF(AND(AG$5=1,$F150&lt;&gt;""),$F150/'Covid 19'!$C$7-AG149,0)</f>
        <v>0</v>
      </c>
      <c r="AH150" s="161">
        <f>IF(AND(AH$5=1,$F150&lt;&gt;""),$F150/'Covid 19'!$C$7-AH149,0)</f>
        <v>0</v>
      </c>
      <c r="AI150" s="161">
        <f>IF(AND(AI$5=1,$F150&lt;&gt;""),$F150/'Covid 19'!$C$7-AI149,0)</f>
        <v>0</v>
      </c>
      <c r="AJ150" s="161">
        <f>IF(AND(AJ$5=1,$F150&lt;&gt;""),$F150/'Covid 19'!$C$7-AJ149,0)</f>
        <v>0</v>
      </c>
      <c r="AK150" s="161">
        <f>IF(AND(AK$5=1,$F150&lt;&gt;""),$F150/'Covid 19'!$C$7-AK149,0)</f>
        <v>0</v>
      </c>
      <c r="AL150" s="161">
        <f>IF(AND(AL$5=1,$F150&lt;&gt;""),$F150/'Covid 19'!$C$7-AL149,0)</f>
        <v>0</v>
      </c>
      <c r="AM150" s="161">
        <f>IF(AND(AM$5=1,$F150&lt;&gt;""),$F150/'Covid 19'!$C$7-AM149,0)</f>
        <v>0</v>
      </c>
      <c r="AN150" s="161">
        <f>IF(AND(AN$5=1,$F150&lt;&gt;""),$F150/'Covid 19'!$C$7-AN149,0)</f>
        <v>0</v>
      </c>
      <c r="AO150" s="161">
        <f>IF(AND(AO$5=1,$F150&lt;&gt;""),$F150/'Covid 19'!$C$7-AO149,0)</f>
        <v>0</v>
      </c>
      <c r="AP150" s="161">
        <f>IF(AND(AP$5=1,$F150&lt;&gt;""),$F150/'Covid 19'!$C$7-AP149,0)</f>
        <v>0</v>
      </c>
      <c r="AQ150" s="161">
        <f>IF(AND(AQ$5=1,$F150&lt;&gt;""),$F150/'Covid 19'!$C$7-AQ149,0)</f>
        <v>0</v>
      </c>
      <c r="AR150" s="161">
        <f>IF(AND(AR$5=1,$F150&lt;&gt;""),$F150/'Covid 19'!$C$7-AR149,0)</f>
        <v>0</v>
      </c>
      <c r="AS150" s="161">
        <f>IF(AND(AS$5=1,$F150&lt;&gt;""),$F150/'Covid 19'!$C$7-AS149,0)</f>
        <v>0</v>
      </c>
      <c r="AT150" s="161">
        <f>IF(AND(AT$5=1,$F150&lt;&gt;""),$F150/'Covid 19'!$C$7-AT149,0)</f>
        <v>0</v>
      </c>
      <c r="AU150" s="161">
        <f>IF(AND(AU$5=1,$F150&lt;&gt;""),$F150/'Covid 19'!$C$7-AU149,0)</f>
        <v>0</v>
      </c>
      <c r="AV150" s="161">
        <f>IF(AND(AV$5=1,$F150&lt;&gt;""),$F150/'Covid 19'!$C$7-AV149,0)</f>
        <v>0</v>
      </c>
      <c r="AW150" s="161">
        <f>IF(AND(AW$5=1,$F150&lt;&gt;""),$F150/'Covid 19'!$C$7-AW149,0)</f>
        <v>0</v>
      </c>
      <c r="AX150" s="161">
        <f>IF(AND(AX$5=1,$F150&lt;&gt;""),$F150/'Covid 19'!$C$7-AX149,0)</f>
        <v>0</v>
      </c>
      <c r="AY150" s="161">
        <f>IF(AND(AY$5=1,$F150&lt;&gt;""),$F150/'Covid 19'!$C$7-AY149,0)</f>
        <v>0</v>
      </c>
      <c r="AZ150" s="161">
        <f>IF(AND(AZ$5=1,$F150&lt;&gt;""),$F150/'Covid 19'!$C$7-AZ149,0)</f>
        <v>0</v>
      </c>
      <c r="BA150" s="161">
        <f>IF(AND(BA$5=1,$F150&lt;&gt;""),$F150/'Covid 19'!$C$7-BA149,0)</f>
        <v>0</v>
      </c>
      <c r="BB150" s="161">
        <f>IF(AND(BB$5=1,$F150&lt;&gt;""),$F150/'Covid 19'!$C$7-BB149,0)</f>
        <v>0</v>
      </c>
      <c r="BC150" s="161">
        <f>IF(AND(BC$5=1,$F150&lt;&gt;""),$F150/'Covid 19'!$C$7-BC149,0)</f>
        <v>0</v>
      </c>
      <c r="BE150" s="75">
        <f t="shared" si="276"/>
        <v>0</v>
      </c>
      <c r="BF150" s="75">
        <f t="shared" si="277"/>
        <v>0</v>
      </c>
      <c r="BG150" s="75">
        <f t="shared" si="277"/>
        <v>0</v>
      </c>
      <c r="BH150" s="75">
        <f t="shared" si="277"/>
        <v>0</v>
      </c>
    </row>
    <row r="151" spans="2:60" ht="21" customHeight="1" x14ac:dyDescent="0.3">
      <c r="B151" s="60" t="str">
        <f>B71</f>
        <v>Virtual consults</v>
      </c>
      <c r="C151" s="48">
        <f>IF(C$26="","",C$26)</f>
        <v>43922</v>
      </c>
      <c r="D151" s="48" t="str">
        <f>IF(D$26="","",D$26)</f>
        <v/>
      </c>
      <c r="E151" s="47"/>
      <c r="F151" s="79"/>
      <c r="G151" s="75"/>
      <c r="H151" s="75">
        <f>IFERROR(MIN(1,MAX(0,(EOMONTH(H$4,0)+1-$C151)/(EDATE($C151,$E151)-$C151)))*$F151/12+IF(AND(H$4&gt;=EOMONTH($C151,0),H$4&lt;=EOMONTH($C151,11)),$G151/12,0),0)</f>
        <v>0</v>
      </c>
      <c r="I151" s="75">
        <f t="shared" ref="I151:BC151" si="278">IFERROR(MIN(1,MAX(0,(EOMONTH(I$4,0)+1-$C151)/(EDATE($C151,$E151)-$C151)))*$F151/12+IF(AND(I$4&gt;=EOMONTH($C151,0),I$4&lt;=EOMONTH($C151,11)),$G151/12,0),0)</f>
        <v>0</v>
      </c>
      <c r="J151" s="75">
        <f t="shared" si="278"/>
        <v>0</v>
      </c>
      <c r="K151" s="75">
        <f t="shared" si="278"/>
        <v>0</v>
      </c>
      <c r="L151" s="75">
        <f t="shared" si="278"/>
        <v>0</v>
      </c>
      <c r="M151" s="75">
        <f t="shared" si="278"/>
        <v>0</v>
      </c>
      <c r="N151" s="75">
        <f t="shared" si="278"/>
        <v>0</v>
      </c>
      <c r="O151" s="75">
        <f t="shared" si="278"/>
        <v>0</v>
      </c>
      <c r="P151" s="75">
        <f t="shared" si="278"/>
        <v>0</v>
      </c>
      <c r="Q151" s="75">
        <f t="shared" si="278"/>
        <v>0</v>
      </c>
      <c r="R151" s="75">
        <f t="shared" si="278"/>
        <v>0</v>
      </c>
      <c r="S151" s="75">
        <f t="shared" si="278"/>
        <v>0</v>
      </c>
      <c r="T151" s="75">
        <f t="shared" si="278"/>
        <v>0</v>
      </c>
      <c r="U151" s="75">
        <f t="shared" si="278"/>
        <v>0</v>
      </c>
      <c r="V151" s="75">
        <f t="shared" si="278"/>
        <v>0</v>
      </c>
      <c r="W151" s="75">
        <f t="shared" si="278"/>
        <v>0</v>
      </c>
      <c r="X151" s="75">
        <f t="shared" si="278"/>
        <v>0</v>
      </c>
      <c r="Y151" s="75">
        <f t="shared" si="278"/>
        <v>0</v>
      </c>
      <c r="Z151" s="75">
        <f t="shared" si="278"/>
        <v>0</v>
      </c>
      <c r="AA151" s="75">
        <f t="shared" si="278"/>
        <v>0</v>
      </c>
      <c r="AB151" s="75">
        <f t="shared" si="278"/>
        <v>0</v>
      </c>
      <c r="AC151" s="75">
        <f t="shared" si="278"/>
        <v>0</v>
      </c>
      <c r="AD151" s="75">
        <f t="shared" si="278"/>
        <v>0</v>
      </c>
      <c r="AE151" s="75">
        <f t="shared" si="278"/>
        <v>0</v>
      </c>
      <c r="AF151" s="75">
        <f t="shared" si="278"/>
        <v>0</v>
      </c>
      <c r="AG151" s="75">
        <f t="shared" si="278"/>
        <v>0</v>
      </c>
      <c r="AH151" s="75">
        <f t="shared" si="278"/>
        <v>0</v>
      </c>
      <c r="AI151" s="75">
        <f t="shared" si="278"/>
        <v>0</v>
      </c>
      <c r="AJ151" s="75">
        <f t="shared" si="278"/>
        <v>0</v>
      </c>
      <c r="AK151" s="75">
        <f t="shared" si="278"/>
        <v>0</v>
      </c>
      <c r="AL151" s="75">
        <f t="shared" si="278"/>
        <v>0</v>
      </c>
      <c r="AM151" s="75">
        <f t="shared" si="278"/>
        <v>0</v>
      </c>
      <c r="AN151" s="75">
        <f t="shared" si="278"/>
        <v>0</v>
      </c>
      <c r="AO151" s="75">
        <f t="shared" si="278"/>
        <v>0</v>
      </c>
      <c r="AP151" s="75">
        <f t="shared" si="278"/>
        <v>0</v>
      </c>
      <c r="AQ151" s="75">
        <f t="shared" si="278"/>
        <v>0</v>
      </c>
      <c r="AR151" s="75">
        <f t="shared" si="278"/>
        <v>0</v>
      </c>
      <c r="AS151" s="75">
        <f t="shared" si="278"/>
        <v>0</v>
      </c>
      <c r="AT151" s="75">
        <f t="shared" si="278"/>
        <v>0</v>
      </c>
      <c r="AU151" s="75">
        <f t="shared" si="278"/>
        <v>0</v>
      </c>
      <c r="AV151" s="75">
        <f t="shared" si="278"/>
        <v>0</v>
      </c>
      <c r="AW151" s="75">
        <f t="shared" si="278"/>
        <v>0</v>
      </c>
      <c r="AX151" s="75">
        <f t="shared" si="278"/>
        <v>0</v>
      </c>
      <c r="AY151" s="75">
        <f t="shared" si="278"/>
        <v>0</v>
      </c>
      <c r="AZ151" s="75">
        <f t="shared" si="278"/>
        <v>0</v>
      </c>
      <c r="BA151" s="75">
        <f t="shared" si="278"/>
        <v>0</v>
      </c>
      <c r="BB151" s="75">
        <f t="shared" si="278"/>
        <v>0</v>
      </c>
      <c r="BC151" s="75">
        <f t="shared" si="278"/>
        <v>0</v>
      </c>
      <c r="BD151" s="61"/>
      <c r="BE151" s="79"/>
      <c r="BF151" s="79"/>
      <c r="BG151" s="79"/>
      <c r="BH151" s="79"/>
    </row>
    <row r="152" spans="2:60" ht="21" customHeight="1" x14ac:dyDescent="0.3">
      <c r="B152" s="60" t="s">
        <v>367</v>
      </c>
      <c r="C152" s="48">
        <f>C144</f>
        <v>43891</v>
      </c>
      <c r="D152" s="48">
        <f>D145</f>
        <v>44165</v>
      </c>
      <c r="E152" s="47">
        <v>1</v>
      </c>
      <c r="F152" s="75"/>
      <c r="G152" s="75"/>
      <c r="H152" s="161">
        <f>IF(AND(H$5=1,$G152&lt;&gt;""),$G152-H151,IF(AND(H$5=2,$F152&lt;&gt;""),$F152-H151,0))</f>
        <v>0</v>
      </c>
      <c r="I152" s="161">
        <f t="shared" ref="I152" si="279">IF(AND(I$5=1,$G152&lt;&gt;""),$G152-I151,IF(AND(I$5=2,$F152&lt;&gt;""),$F152-I151,0))</f>
        <v>0</v>
      </c>
      <c r="J152" s="161">
        <f t="shared" ref="J152" si="280">IF(AND(J$5=1,$G152&lt;&gt;""),$G152-J151,IF(AND(J$5=2,$F152&lt;&gt;""),$F152-J151,0))</f>
        <v>0</v>
      </c>
      <c r="K152" s="161">
        <f t="shared" ref="K152" si="281">IF(AND(K$5=1,$G152&lt;&gt;""),$G152-K151,IF(AND(K$5=2,$F152&lt;&gt;""),$F152-K151,0))</f>
        <v>0</v>
      </c>
      <c r="L152" s="161">
        <f t="shared" ref="L152" si="282">IF(AND(L$5=1,$G152&lt;&gt;""),$G152-L151,IF(AND(L$5=2,$F152&lt;&gt;""),$F152-L151,0))</f>
        <v>0</v>
      </c>
      <c r="M152" s="161">
        <f t="shared" ref="M152" si="283">IF(AND(M$5=1,$G152&lt;&gt;""),$G152-M151,IF(AND(M$5=2,$F152&lt;&gt;""),$F152-M151,0))</f>
        <v>0</v>
      </c>
      <c r="N152" s="161">
        <f t="shared" ref="N152" si="284">IF(AND(N$5=1,$G152&lt;&gt;""),$G152-N151,IF(AND(N$5=2,$F152&lt;&gt;""),$F152-N151,0))</f>
        <v>0</v>
      </c>
      <c r="O152" s="161">
        <f t="shared" ref="O152" si="285">IF(AND(O$5=1,$G152&lt;&gt;""),$G152-O151,IF(AND(O$5=2,$F152&lt;&gt;""),$F152-O151,0))</f>
        <v>0</v>
      </c>
      <c r="P152" s="161">
        <f t="shared" ref="P152" si="286">IF(AND(P$5=1,$G152&lt;&gt;""),$G152-P151,IF(AND(P$5=2,$F152&lt;&gt;""),$F152-P151,0))</f>
        <v>0</v>
      </c>
      <c r="Q152" s="161">
        <f t="shared" ref="Q152" si="287">IF(AND(Q$5=1,$G152&lt;&gt;""),$G152-Q151,IF(AND(Q$5=2,$F152&lt;&gt;""),$F152-Q151,0))</f>
        <v>0</v>
      </c>
      <c r="R152" s="161">
        <f t="shared" ref="R152" si="288">IF(AND(R$5=1,$G152&lt;&gt;""),$G152-R151,IF(AND(R$5=2,$F152&lt;&gt;""),$F152-R151,0))</f>
        <v>0</v>
      </c>
      <c r="S152" s="161">
        <f t="shared" ref="S152" si="289">IF(AND(S$5=1,$G152&lt;&gt;""),$G152-S151,IF(AND(S$5=2,$F152&lt;&gt;""),$F152-S151,0))</f>
        <v>0</v>
      </c>
      <c r="T152" s="161">
        <f t="shared" ref="T152" si="290">IF(AND(T$5=1,$G152&lt;&gt;""),$G152-T151,IF(AND(T$5=2,$F152&lt;&gt;""),$F152-T151,0))</f>
        <v>0</v>
      </c>
      <c r="U152" s="161">
        <f t="shared" ref="U152" si="291">IF(AND(U$5=1,$G152&lt;&gt;""),$G152-U151,IF(AND(U$5=2,$F152&lt;&gt;""),$F152-U151,0))</f>
        <v>0</v>
      </c>
      <c r="V152" s="161">
        <f t="shared" ref="V152" si="292">IF(AND(V$5=1,$G152&lt;&gt;""),$G152-V151,IF(AND(V$5=2,$F152&lt;&gt;""),$F152-V151,0))</f>
        <v>0</v>
      </c>
      <c r="W152" s="161">
        <f t="shared" ref="W152" si="293">IF(AND(W$5=1,$G152&lt;&gt;""),$G152-W151,IF(AND(W$5=2,$F152&lt;&gt;""),$F152-W151,0))</f>
        <v>0</v>
      </c>
      <c r="X152" s="161">
        <f t="shared" ref="X152" si="294">IF(AND(X$5=1,$G152&lt;&gt;""),$G152-X151,IF(AND(X$5=2,$F152&lt;&gt;""),$F152-X151,0))</f>
        <v>0</v>
      </c>
      <c r="Y152" s="161">
        <f t="shared" ref="Y152" si="295">IF(AND(Y$5=1,$G152&lt;&gt;""),$G152-Y151,IF(AND(Y$5=2,$F152&lt;&gt;""),$F152-Y151,0))</f>
        <v>0</v>
      </c>
      <c r="Z152" s="161">
        <f t="shared" ref="Z152" si="296">IF(AND(Z$5=1,$G152&lt;&gt;""),$G152-Z151,IF(AND(Z$5=2,$F152&lt;&gt;""),$F152-Z151,0))</f>
        <v>0</v>
      </c>
      <c r="AA152" s="161">
        <f t="shared" ref="AA152" si="297">IF(AND(AA$5=1,$G152&lt;&gt;""),$G152-AA151,IF(AND(AA$5=2,$F152&lt;&gt;""),$F152-AA151,0))</f>
        <v>0</v>
      </c>
      <c r="AB152" s="161">
        <f t="shared" ref="AB152" si="298">IF(AND(AB$5=1,$G152&lt;&gt;""),$G152-AB151,IF(AND(AB$5=2,$F152&lt;&gt;""),$F152-AB151,0))</f>
        <v>0</v>
      </c>
      <c r="AC152" s="161">
        <f t="shared" ref="AC152" si="299">IF(AND(AC$5=1,$G152&lt;&gt;""),$G152-AC151,IF(AND(AC$5=2,$F152&lt;&gt;""),$F152-AC151,0))</f>
        <v>0</v>
      </c>
      <c r="AD152" s="161">
        <f t="shared" ref="AD152" si="300">IF(AND(AD$5=1,$G152&lt;&gt;""),$G152-AD151,IF(AND(AD$5=2,$F152&lt;&gt;""),$F152-AD151,0))</f>
        <v>0</v>
      </c>
      <c r="AE152" s="161">
        <f t="shared" ref="AE152" si="301">IF(AND(AE$5=1,$G152&lt;&gt;""),$G152-AE151,IF(AND(AE$5=2,$F152&lt;&gt;""),$F152-AE151,0))</f>
        <v>0</v>
      </c>
      <c r="AF152" s="161">
        <f t="shared" ref="AF152" si="302">IF(AND(AF$5=1,$G152&lt;&gt;""),$G152-AF151,IF(AND(AF$5=2,$F152&lt;&gt;""),$F152-AF151,0))</f>
        <v>0</v>
      </c>
      <c r="AG152" s="161">
        <f t="shared" ref="AG152" si="303">IF(AND(AG$5=1,$G152&lt;&gt;""),$G152-AG151,IF(AND(AG$5=2,$F152&lt;&gt;""),$F152-AG151,0))</f>
        <v>0</v>
      </c>
      <c r="AH152" s="161">
        <f t="shared" ref="AH152" si="304">IF(AND(AH$5=1,$G152&lt;&gt;""),$G152-AH151,IF(AND(AH$5=2,$F152&lt;&gt;""),$F152-AH151,0))</f>
        <v>0</v>
      </c>
      <c r="AI152" s="161">
        <f t="shared" ref="AI152" si="305">IF(AND(AI$5=1,$G152&lt;&gt;""),$G152-AI151,IF(AND(AI$5=2,$F152&lt;&gt;""),$F152-AI151,0))</f>
        <v>0</v>
      </c>
      <c r="AJ152" s="161">
        <f t="shared" ref="AJ152" si="306">IF(AND(AJ$5=1,$G152&lt;&gt;""),$G152-AJ151,IF(AND(AJ$5=2,$F152&lt;&gt;""),$F152-AJ151,0))</f>
        <v>0</v>
      </c>
      <c r="AK152" s="161">
        <f t="shared" ref="AK152" si="307">IF(AND(AK$5=1,$G152&lt;&gt;""),$G152-AK151,IF(AND(AK$5=2,$F152&lt;&gt;""),$F152-AK151,0))</f>
        <v>0</v>
      </c>
      <c r="AL152" s="161">
        <f t="shared" ref="AL152" si="308">IF(AND(AL$5=1,$G152&lt;&gt;""),$G152-AL151,IF(AND(AL$5=2,$F152&lt;&gt;""),$F152-AL151,0))</f>
        <v>0</v>
      </c>
      <c r="AM152" s="161">
        <f t="shared" ref="AM152" si="309">IF(AND(AM$5=1,$G152&lt;&gt;""),$G152-AM151,IF(AND(AM$5=2,$F152&lt;&gt;""),$F152-AM151,0))</f>
        <v>0</v>
      </c>
      <c r="AN152" s="161">
        <f t="shared" ref="AN152" si="310">IF(AND(AN$5=1,$G152&lt;&gt;""),$G152-AN151,IF(AND(AN$5=2,$F152&lt;&gt;""),$F152-AN151,0))</f>
        <v>0</v>
      </c>
      <c r="AO152" s="161">
        <f t="shared" ref="AO152" si="311">IF(AND(AO$5=1,$G152&lt;&gt;""),$G152-AO151,IF(AND(AO$5=2,$F152&lt;&gt;""),$F152-AO151,0))</f>
        <v>0</v>
      </c>
      <c r="AP152" s="161">
        <f t="shared" ref="AP152" si="312">IF(AND(AP$5=1,$G152&lt;&gt;""),$G152-AP151,IF(AND(AP$5=2,$F152&lt;&gt;""),$F152-AP151,0))</f>
        <v>0</v>
      </c>
      <c r="AQ152" s="161">
        <f t="shared" ref="AQ152" si="313">IF(AND(AQ$5=1,$G152&lt;&gt;""),$G152-AQ151,IF(AND(AQ$5=2,$F152&lt;&gt;""),$F152-AQ151,0))</f>
        <v>0</v>
      </c>
      <c r="AR152" s="161">
        <f t="shared" ref="AR152" si="314">IF(AND(AR$5=1,$G152&lt;&gt;""),$G152-AR151,IF(AND(AR$5=2,$F152&lt;&gt;""),$F152-AR151,0))</f>
        <v>0</v>
      </c>
      <c r="AS152" s="161">
        <f t="shared" ref="AS152" si="315">IF(AND(AS$5=1,$G152&lt;&gt;""),$G152-AS151,IF(AND(AS$5=2,$F152&lt;&gt;""),$F152-AS151,0))</f>
        <v>0</v>
      </c>
      <c r="AT152" s="161">
        <f t="shared" ref="AT152" si="316">IF(AND(AT$5=1,$G152&lt;&gt;""),$G152-AT151,IF(AND(AT$5=2,$F152&lt;&gt;""),$F152-AT151,0))</f>
        <v>0</v>
      </c>
      <c r="AU152" s="161">
        <f t="shared" ref="AU152" si="317">IF(AND(AU$5=1,$G152&lt;&gt;""),$G152-AU151,IF(AND(AU$5=2,$F152&lt;&gt;""),$F152-AU151,0))</f>
        <v>0</v>
      </c>
      <c r="AV152" s="161">
        <f t="shared" ref="AV152" si="318">IF(AND(AV$5=1,$G152&lt;&gt;""),$G152-AV151,IF(AND(AV$5=2,$F152&lt;&gt;""),$F152-AV151,0))</f>
        <v>0</v>
      </c>
      <c r="AW152" s="161">
        <f t="shared" ref="AW152" si="319">IF(AND(AW$5=1,$G152&lt;&gt;""),$G152-AW151,IF(AND(AW$5=2,$F152&lt;&gt;""),$F152-AW151,0))</f>
        <v>0</v>
      </c>
      <c r="AX152" s="161">
        <f t="shared" ref="AX152" si="320">IF(AND(AX$5=1,$G152&lt;&gt;""),$G152-AX151,IF(AND(AX$5=2,$F152&lt;&gt;""),$F152-AX151,0))</f>
        <v>0</v>
      </c>
      <c r="AY152" s="161">
        <f t="shared" ref="AY152" si="321">IF(AND(AY$5=1,$G152&lt;&gt;""),$G152-AY151,IF(AND(AY$5=2,$F152&lt;&gt;""),$F152-AY151,0))</f>
        <v>0</v>
      </c>
      <c r="AZ152" s="161">
        <f t="shared" ref="AZ152" si="322">IF(AND(AZ$5=1,$G152&lt;&gt;""),$G152-AZ151,IF(AND(AZ$5=2,$F152&lt;&gt;""),$F152-AZ151,0))</f>
        <v>0</v>
      </c>
      <c r="BA152" s="161">
        <f t="shared" ref="BA152" si="323">IF(AND(BA$5=1,$G152&lt;&gt;""),$G152-BA151,IF(AND(BA$5=2,$F152&lt;&gt;""),$F152-BA151,0))</f>
        <v>0</v>
      </c>
      <c r="BB152" s="161">
        <f t="shared" ref="BB152" si="324">IF(AND(BB$5=1,$G152&lt;&gt;""),$G152-BB151,IF(AND(BB$5=2,$F152&lt;&gt;""),$F152-BB151,0))</f>
        <v>0</v>
      </c>
      <c r="BC152" s="161">
        <f t="shared" ref="BC152" si="325">IF(AND(BC$5=1,$G152&lt;&gt;""),$G152-BC151,IF(AND(BC$5=2,$F152&lt;&gt;""),$F152-BC151,0))</f>
        <v>0</v>
      </c>
      <c r="BE152" s="75">
        <f t="shared" ref="BE152:BH152" si="326">SUMIF($H$3:$BD$3,BE$3,$H152:$BD152)</f>
        <v>0</v>
      </c>
      <c r="BF152" s="75">
        <f t="shared" si="326"/>
        <v>0</v>
      </c>
      <c r="BG152" s="75">
        <f t="shared" si="326"/>
        <v>0</v>
      </c>
      <c r="BH152" s="75">
        <f t="shared" si="326"/>
        <v>0</v>
      </c>
    </row>
    <row r="153" spans="2:60" ht="21" customHeight="1" x14ac:dyDescent="0.3">
      <c r="B153" s="60" t="str">
        <f>$B$28</f>
        <v>YOC</v>
      </c>
      <c r="C153" s="48">
        <f>IF(C$28="","",C$28)</f>
        <v>43922</v>
      </c>
      <c r="D153" s="48" t="str">
        <f>IF(D$28="","",D$28)</f>
        <v/>
      </c>
      <c r="E153" s="47">
        <f>IF(E$28="","",E$28)</f>
        <v>12</v>
      </c>
      <c r="F153" s="79">
        <v>0</v>
      </c>
      <c r="G153" s="75"/>
      <c r="H153" s="75">
        <f>IFERROR(MIN(1,MAX(0,(EOMONTH(H$4,0)+1-$C153)/(EDATE($C153,$E153)-$C153)))*$F153/12+IF(AND(H$4&gt;=EOMONTH($C153,0),H$4&lt;=EOMONTH($C153,11)),$G153/12,0),0)</f>
        <v>0</v>
      </c>
      <c r="I153" s="75">
        <f t="shared" ref="I153:BC158" si="327">IFERROR(MIN(1,MAX(0,(EOMONTH(I$4,0)+1-$C153)/(EDATE($C153,$E153)-$C153)))*$F153/12+IF(AND(I$4&gt;=EOMONTH($C153,0),I$4&lt;=EOMONTH($C153,11)),$G153/12,0),0)</f>
        <v>0</v>
      </c>
      <c r="J153" s="75">
        <f t="shared" si="327"/>
        <v>0</v>
      </c>
      <c r="K153" s="75">
        <f t="shared" si="327"/>
        <v>0</v>
      </c>
      <c r="L153" s="75">
        <f t="shared" si="327"/>
        <v>0</v>
      </c>
      <c r="M153" s="75">
        <f t="shared" si="327"/>
        <v>0</v>
      </c>
      <c r="N153" s="75">
        <f t="shared" si="327"/>
        <v>0</v>
      </c>
      <c r="O153" s="75">
        <f t="shared" si="327"/>
        <v>0</v>
      </c>
      <c r="P153" s="75">
        <f t="shared" si="327"/>
        <v>0</v>
      </c>
      <c r="Q153" s="75">
        <f t="shared" si="327"/>
        <v>0</v>
      </c>
      <c r="R153" s="75">
        <f t="shared" si="327"/>
        <v>0</v>
      </c>
      <c r="S153" s="75">
        <f t="shared" si="327"/>
        <v>0</v>
      </c>
      <c r="T153" s="75">
        <f t="shared" si="327"/>
        <v>0</v>
      </c>
      <c r="U153" s="75">
        <f t="shared" si="327"/>
        <v>0</v>
      </c>
      <c r="V153" s="75">
        <f t="shared" si="327"/>
        <v>0</v>
      </c>
      <c r="W153" s="75">
        <f t="shared" si="327"/>
        <v>0</v>
      </c>
      <c r="X153" s="75">
        <f t="shared" si="327"/>
        <v>0</v>
      </c>
      <c r="Y153" s="75">
        <f t="shared" si="327"/>
        <v>0</v>
      </c>
      <c r="Z153" s="75">
        <f t="shared" si="327"/>
        <v>0</v>
      </c>
      <c r="AA153" s="75">
        <f t="shared" si="327"/>
        <v>0</v>
      </c>
      <c r="AB153" s="75">
        <f t="shared" si="327"/>
        <v>0</v>
      </c>
      <c r="AC153" s="75">
        <f t="shared" si="327"/>
        <v>0</v>
      </c>
      <c r="AD153" s="75">
        <f t="shared" si="327"/>
        <v>0</v>
      </c>
      <c r="AE153" s="75">
        <f t="shared" si="327"/>
        <v>0</v>
      </c>
      <c r="AF153" s="75">
        <f t="shared" si="327"/>
        <v>0</v>
      </c>
      <c r="AG153" s="75">
        <f t="shared" si="327"/>
        <v>0</v>
      </c>
      <c r="AH153" s="75">
        <f t="shared" si="327"/>
        <v>0</v>
      </c>
      <c r="AI153" s="75">
        <f t="shared" si="327"/>
        <v>0</v>
      </c>
      <c r="AJ153" s="75">
        <f t="shared" si="327"/>
        <v>0</v>
      </c>
      <c r="AK153" s="75">
        <f t="shared" si="327"/>
        <v>0</v>
      </c>
      <c r="AL153" s="75">
        <f t="shared" si="327"/>
        <v>0</v>
      </c>
      <c r="AM153" s="75">
        <f t="shared" si="327"/>
        <v>0</v>
      </c>
      <c r="AN153" s="75">
        <f t="shared" si="327"/>
        <v>0</v>
      </c>
      <c r="AO153" s="75">
        <f t="shared" si="327"/>
        <v>0</v>
      </c>
      <c r="AP153" s="75">
        <f t="shared" si="327"/>
        <v>0</v>
      </c>
      <c r="AQ153" s="75">
        <f t="shared" si="327"/>
        <v>0</v>
      </c>
      <c r="AR153" s="75">
        <f t="shared" si="327"/>
        <v>0</v>
      </c>
      <c r="AS153" s="75">
        <f t="shared" si="327"/>
        <v>0</v>
      </c>
      <c r="AT153" s="75">
        <f t="shared" si="327"/>
        <v>0</v>
      </c>
      <c r="AU153" s="75">
        <f t="shared" si="327"/>
        <v>0</v>
      </c>
      <c r="AV153" s="75">
        <f t="shared" si="327"/>
        <v>0</v>
      </c>
      <c r="AW153" s="75">
        <f t="shared" si="327"/>
        <v>0</v>
      </c>
      <c r="AX153" s="75">
        <f t="shared" si="327"/>
        <v>0</v>
      </c>
      <c r="AY153" s="75">
        <f t="shared" si="327"/>
        <v>0</v>
      </c>
      <c r="AZ153" s="75">
        <f t="shared" si="327"/>
        <v>0</v>
      </c>
      <c r="BA153" s="75">
        <f t="shared" si="327"/>
        <v>0</v>
      </c>
      <c r="BB153" s="75">
        <f t="shared" si="327"/>
        <v>0</v>
      </c>
      <c r="BC153" s="75">
        <f t="shared" si="327"/>
        <v>0</v>
      </c>
      <c r="BD153" s="61"/>
      <c r="BE153" s="79">
        <f t="shared" si="276"/>
        <v>0</v>
      </c>
      <c r="BF153" s="79">
        <f t="shared" si="277"/>
        <v>0</v>
      </c>
      <c r="BG153" s="79">
        <f t="shared" si="277"/>
        <v>0</v>
      </c>
      <c r="BH153" s="79">
        <f t="shared" si="277"/>
        <v>0</v>
      </c>
    </row>
    <row r="154" spans="2:60" ht="21" customHeight="1" x14ac:dyDescent="0.3">
      <c r="B154" s="60" t="str">
        <f>$B$29</f>
        <v>Extended hours</v>
      </c>
      <c r="C154" s="48">
        <f>IF(C$29="","",C$29)</f>
        <v>43922</v>
      </c>
      <c r="D154" s="48" t="str">
        <f>IF(D$29="","",D$29)</f>
        <v/>
      </c>
      <c r="E154" s="47">
        <f>IF(E$29="","",E$29)</f>
        <v>1</v>
      </c>
      <c r="F154" s="79"/>
      <c r="G154" s="75"/>
      <c r="H154" s="75">
        <f>IFERROR(MIN(1,MAX(0,(EOMONTH(H$4,0)+1-$C154)/(EDATE($C154,$E154)-$C154)))*$F154/12+IF(AND(H$4&gt;=EOMONTH($C154,0),H$4&lt;=EOMONTH($C154,11)),$G154/12,0),0)</f>
        <v>0</v>
      </c>
      <c r="I154" s="75">
        <f t="shared" si="327"/>
        <v>0</v>
      </c>
      <c r="J154" s="75">
        <f t="shared" si="327"/>
        <v>0</v>
      </c>
      <c r="K154" s="75">
        <f t="shared" si="327"/>
        <v>0</v>
      </c>
      <c r="L154" s="75">
        <f t="shared" si="327"/>
        <v>0</v>
      </c>
      <c r="M154" s="75">
        <f t="shared" si="327"/>
        <v>0</v>
      </c>
      <c r="N154" s="75">
        <f t="shared" si="327"/>
        <v>0</v>
      </c>
      <c r="O154" s="75">
        <f t="shared" si="327"/>
        <v>0</v>
      </c>
      <c r="P154" s="75">
        <f t="shared" si="327"/>
        <v>0</v>
      </c>
      <c r="Q154" s="75">
        <f t="shared" si="327"/>
        <v>0</v>
      </c>
      <c r="R154" s="75">
        <f t="shared" si="327"/>
        <v>0</v>
      </c>
      <c r="S154" s="75">
        <f t="shared" si="327"/>
        <v>0</v>
      </c>
      <c r="T154" s="75">
        <f t="shared" si="327"/>
        <v>0</v>
      </c>
      <c r="U154" s="75">
        <f t="shared" si="327"/>
        <v>0</v>
      </c>
      <c r="V154" s="75">
        <f t="shared" si="327"/>
        <v>0</v>
      </c>
      <c r="W154" s="75">
        <f t="shared" si="327"/>
        <v>0</v>
      </c>
      <c r="X154" s="75">
        <f t="shared" si="327"/>
        <v>0</v>
      </c>
      <c r="Y154" s="75">
        <f t="shared" si="327"/>
        <v>0</v>
      </c>
      <c r="Z154" s="75">
        <f t="shared" si="327"/>
        <v>0</v>
      </c>
      <c r="AA154" s="75">
        <f t="shared" si="327"/>
        <v>0</v>
      </c>
      <c r="AB154" s="75">
        <f t="shared" si="327"/>
        <v>0</v>
      </c>
      <c r="AC154" s="75">
        <f t="shared" si="327"/>
        <v>0</v>
      </c>
      <c r="AD154" s="75">
        <f t="shared" si="327"/>
        <v>0</v>
      </c>
      <c r="AE154" s="75">
        <f t="shared" si="327"/>
        <v>0</v>
      </c>
      <c r="AF154" s="75">
        <f t="shared" si="327"/>
        <v>0</v>
      </c>
      <c r="AG154" s="75">
        <f t="shared" si="327"/>
        <v>0</v>
      </c>
      <c r="AH154" s="75">
        <f t="shared" si="327"/>
        <v>0</v>
      </c>
      <c r="AI154" s="75">
        <f t="shared" si="327"/>
        <v>0</v>
      </c>
      <c r="AJ154" s="75">
        <f t="shared" si="327"/>
        <v>0</v>
      </c>
      <c r="AK154" s="75">
        <f t="shared" si="327"/>
        <v>0</v>
      </c>
      <c r="AL154" s="75">
        <f t="shared" si="327"/>
        <v>0</v>
      </c>
      <c r="AM154" s="75">
        <f t="shared" si="327"/>
        <v>0</v>
      </c>
      <c r="AN154" s="75">
        <f t="shared" si="327"/>
        <v>0</v>
      </c>
      <c r="AO154" s="75">
        <f t="shared" si="327"/>
        <v>0</v>
      </c>
      <c r="AP154" s="75">
        <f t="shared" si="327"/>
        <v>0</v>
      </c>
      <c r="AQ154" s="75">
        <f t="shared" si="327"/>
        <v>0</v>
      </c>
      <c r="AR154" s="75">
        <f t="shared" si="327"/>
        <v>0</v>
      </c>
      <c r="AS154" s="75">
        <f t="shared" si="327"/>
        <v>0</v>
      </c>
      <c r="AT154" s="75">
        <f t="shared" si="327"/>
        <v>0</v>
      </c>
      <c r="AU154" s="75">
        <f t="shared" si="327"/>
        <v>0</v>
      </c>
      <c r="AV154" s="75">
        <f t="shared" si="327"/>
        <v>0</v>
      </c>
      <c r="AW154" s="75">
        <f t="shared" si="327"/>
        <v>0</v>
      </c>
      <c r="AX154" s="75">
        <f t="shared" si="327"/>
        <v>0</v>
      </c>
      <c r="AY154" s="75">
        <f t="shared" si="327"/>
        <v>0</v>
      </c>
      <c r="AZ154" s="75">
        <f t="shared" si="327"/>
        <v>0</v>
      </c>
      <c r="BA154" s="75">
        <f t="shared" si="327"/>
        <v>0</v>
      </c>
      <c r="BB154" s="75">
        <f t="shared" si="327"/>
        <v>0</v>
      </c>
      <c r="BC154" s="75">
        <f t="shared" si="327"/>
        <v>0</v>
      </c>
      <c r="BD154" s="61"/>
      <c r="BE154" s="79">
        <f t="shared" si="276"/>
        <v>0</v>
      </c>
      <c r="BF154" s="79">
        <f t="shared" si="277"/>
        <v>0</v>
      </c>
      <c r="BG154" s="79">
        <f t="shared" si="277"/>
        <v>0</v>
      </c>
      <c r="BH154" s="79">
        <f t="shared" si="277"/>
        <v>0</v>
      </c>
    </row>
    <row r="155" spans="2:60" ht="21" customHeight="1" x14ac:dyDescent="0.3">
      <c r="B155" s="60" t="str">
        <f>$B$30</f>
        <v>Multi-discliplinary Team Meetings</v>
      </c>
      <c r="C155" s="48">
        <f>IF(C$30="","",C$30)</f>
        <v>43922</v>
      </c>
      <c r="D155" s="48" t="str">
        <f>IF(D$30="","",D$30)</f>
        <v/>
      </c>
      <c r="E155" s="47">
        <f>IF(E$30="","",E$30)</f>
        <v>6</v>
      </c>
      <c r="F155" s="79">
        <f>MDT!C35</f>
        <v>0</v>
      </c>
      <c r="G155" s="75"/>
      <c r="H155" s="75">
        <f>IFERROR(MIN(1,MAX(0,(EOMONTH(H$4,0)+1-$C155)/(EDATE($C155,$E155)-$C155)))*$F155/12+IF(AND(H$4&gt;=EOMONTH($C155,0),H$4&lt;=EOMONTH($C155,11)),$G155/12,0),0)</f>
        <v>0</v>
      </c>
      <c r="I155" s="75">
        <f t="shared" si="327"/>
        <v>0</v>
      </c>
      <c r="J155" s="75">
        <f t="shared" si="327"/>
        <v>0</v>
      </c>
      <c r="K155" s="75">
        <f t="shared" si="327"/>
        <v>0</v>
      </c>
      <c r="L155" s="75">
        <f t="shared" si="327"/>
        <v>0</v>
      </c>
      <c r="M155" s="75">
        <f t="shared" si="327"/>
        <v>0</v>
      </c>
      <c r="N155" s="75">
        <f t="shared" si="327"/>
        <v>0</v>
      </c>
      <c r="O155" s="75">
        <f t="shared" si="327"/>
        <v>0</v>
      </c>
      <c r="P155" s="75">
        <f t="shared" si="327"/>
        <v>0</v>
      </c>
      <c r="Q155" s="75">
        <f t="shared" si="327"/>
        <v>0</v>
      </c>
      <c r="R155" s="75">
        <f t="shared" si="327"/>
        <v>0</v>
      </c>
      <c r="S155" s="75">
        <f t="shared" si="327"/>
        <v>0</v>
      </c>
      <c r="T155" s="75">
        <f t="shared" si="327"/>
        <v>0</v>
      </c>
      <c r="U155" s="75">
        <f t="shared" si="327"/>
        <v>0</v>
      </c>
      <c r="V155" s="75">
        <f t="shared" si="327"/>
        <v>0</v>
      </c>
      <c r="W155" s="75">
        <f t="shared" si="327"/>
        <v>0</v>
      </c>
      <c r="X155" s="75">
        <f t="shared" si="327"/>
        <v>0</v>
      </c>
      <c r="Y155" s="75">
        <f t="shared" si="327"/>
        <v>0</v>
      </c>
      <c r="Z155" s="75">
        <f t="shared" si="327"/>
        <v>0</v>
      </c>
      <c r="AA155" s="75">
        <f t="shared" si="327"/>
        <v>0</v>
      </c>
      <c r="AB155" s="75">
        <f t="shared" si="327"/>
        <v>0</v>
      </c>
      <c r="AC155" s="75">
        <f t="shared" si="327"/>
        <v>0</v>
      </c>
      <c r="AD155" s="75">
        <f t="shared" si="327"/>
        <v>0</v>
      </c>
      <c r="AE155" s="75">
        <f t="shared" si="327"/>
        <v>0</v>
      </c>
      <c r="AF155" s="75">
        <f t="shared" si="327"/>
        <v>0</v>
      </c>
      <c r="AG155" s="75">
        <f t="shared" si="327"/>
        <v>0</v>
      </c>
      <c r="AH155" s="75">
        <f t="shared" si="327"/>
        <v>0</v>
      </c>
      <c r="AI155" s="75">
        <f t="shared" si="327"/>
        <v>0</v>
      </c>
      <c r="AJ155" s="75">
        <f t="shared" si="327"/>
        <v>0</v>
      </c>
      <c r="AK155" s="75">
        <f t="shared" si="327"/>
        <v>0</v>
      </c>
      <c r="AL155" s="75">
        <f t="shared" si="327"/>
        <v>0</v>
      </c>
      <c r="AM155" s="75">
        <f t="shared" si="327"/>
        <v>0</v>
      </c>
      <c r="AN155" s="75">
        <f t="shared" si="327"/>
        <v>0</v>
      </c>
      <c r="AO155" s="75">
        <f t="shared" si="327"/>
        <v>0</v>
      </c>
      <c r="AP155" s="75">
        <f t="shared" si="327"/>
        <v>0</v>
      </c>
      <c r="AQ155" s="75">
        <f t="shared" si="327"/>
        <v>0</v>
      </c>
      <c r="AR155" s="75">
        <f t="shared" si="327"/>
        <v>0</v>
      </c>
      <c r="AS155" s="75">
        <f t="shared" si="327"/>
        <v>0</v>
      </c>
      <c r="AT155" s="75">
        <f t="shared" si="327"/>
        <v>0</v>
      </c>
      <c r="AU155" s="75">
        <f t="shared" si="327"/>
        <v>0</v>
      </c>
      <c r="AV155" s="75">
        <f t="shared" si="327"/>
        <v>0</v>
      </c>
      <c r="AW155" s="75">
        <f t="shared" si="327"/>
        <v>0</v>
      </c>
      <c r="AX155" s="75">
        <f t="shared" si="327"/>
        <v>0</v>
      </c>
      <c r="AY155" s="75">
        <f t="shared" si="327"/>
        <v>0</v>
      </c>
      <c r="AZ155" s="75">
        <f t="shared" si="327"/>
        <v>0</v>
      </c>
      <c r="BA155" s="75">
        <f t="shared" si="327"/>
        <v>0</v>
      </c>
      <c r="BB155" s="75">
        <f t="shared" si="327"/>
        <v>0</v>
      </c>
      <c r="BC155" s="75">
        <f t="shared" si="327"/>
        <v>0</v>
      </c>
      <c r="BD155" s="61"/>
      <c r="BE155" s="79">
        <f t="shared" si="276"/>
        <v>0</v>
      </c>
      <c r="BF155" s="79">
        <f t="shared" si="277"/>
        <v>0</v>
      </c>
      <c r="BG155" s="79">
        <f t="shared" si="277"/>
        <v>0</v>
      </c>
      <c r="BH155" s="79">
        <f t="shared" si="277"/>
        <v>0</v>
      </c>
    </row>
    <row r="156" spans="2:60" ht="21" customHeight="1" x14ac:dyDescent="0.3">
      <c r="B156" s="60" t="str">
        <f>$B$31</f>
        <v>Huddles</v>
      </c>
      <c r="C156" s="48">
        <f>IF(C$31="","",C$31)</f>
        <v>43922</v>
      </c>
      <c r="D156" s="48" t="str">
        <f>IF(D$31="","",D$31)</f>
        <v/>
      </c>
      <c r="E156" s="47">
        <f>IF(E$31="","",E$31)</f>
        <v>1</v>
      </c>
      <c r="F156" s="79">
        <f>Huddles!C39</f>
        <v>3900</v>
      </c>
      <c r="G156" s="75"/>
      <c r="H156" s="75">
        <f>IFERROR(MIN(1,MAX(0,(EOMONTH(H$4,0)+1-$C156)/(EDATE($C156,$E156)-$C156)))*$F156/12+IF(AND(H$4&gt;=EOMONTH($C156,0),H$4&lt;=EOMONTH($C156,11)),$G156/12,0),0)</f>
        <v>0</v>
      </c>
      <c r="I156" s="75">
        <f t="shared" si="327"/>
        <v>0</v>
      </c>
      <c r="J156" s="75">
        <f t="shared" si="327"/>
        <v>0</v>
      </c>
      <c r="K156" s="75">
        <f t="shared" si="327"/>
        <v>0</v>
      </c>
      <c r="L156" s="75">
        <f t="shared" si="327"/>
        <v>0</v>
      </c>
      <c r="M156" s="75">
        <f t="shared" si="327"/>
        <v>0</v>
      </c>
      <c r="N156" s="75">
        <f t="shared" si="327"/>
        <v>0</v>
      </c>
      <c r="O156" s="75">
        <f t="shared" si="327"/>
        <v>0</v>
      </c>
      <c r="P156" s="75">
        <f t="shared" si="327"/>
        <v>0</v>
      </c>
      <c r="Q156" s="75">
        <f t="shared" si="327"/>
        <v>0</v>
      </c>
      <c r="R156" s="75">
        <f t="shared" si="327"/>
        <v>0</v>
      </c>
      <c r="S156" s="75">
        <f t="shared" si="327"/>
        <v>0</v>
      </c>
      <c r="T156" s="75">
        <f t="shared" si="327"/>
        <v>325</v>
      </c>
      <c r="U156" s="75">
        <f t="shared" si="327"/>
        <v>325</v>
      </c>
      <c r="V156" s="75">
        <f t="shared" si="327"/>
        <v>325</v>
      </c>
      <c r="W156" s="75">
        <f t="shared" si="327"/>
        <v>325</v>
      </c>
      <c r="X156" s="75">
        <f t="shared" si="327"/>
        <v>325</v>
      </c>
      <c r="Y156" s="75">
        <f t="shared" si="327"/>
        <v>325</v>
      </c>
      <c r="Z156" s="75">
        <f t="shared" si="327"/>
        <v>325</v>
      </c>
      <c r="AA156" s="75">
        <f t="shared" si="327"/>
        <v>325</v>
      </c>
      <c r="AB156" s="75">
        <f t="shared" si="327"/>
        <v>325</v>
      </c>
      <c r="AC156" s="75">
        <f t="shared" si="327"/>
        <v>325</v>
      </c>
      <c r="AD156" s="75">
        <f t="shared" si="327"/>
        <v>325</v>
      </c>
      <c r="AE156" s="75">
        <f t="shared" si="327"/>
        <v>325</v>
      </c>
      <c r="AF156" s="75">
        <f t="shared" si="327"/>
        <v>325</v>
      </c>
      <c r="AG156" s="75">
        <f t="shared" si="327"/>
        <v>325</v>
      </c>
      <c r="AH156" s="75">
        <f t="shared" si="327"/>
        <v>325</v>
      </c>
      <c r="AI156" s="75">
        <f t="shared" si="327"/>
        <v>325</v>
      </c>
      <c r="AJ156" s="75">
        <f t="shared" si="327"/>
        <v>325</v>
      </c>
      <c r="AK156" s="75">
        <f t="shared" si="327"/>
        <v>325</v>
      </c>
      <c r="AL156" s="75">
        <f t="shared" si="327"/>
        <v>325</v>
      </c>
      <c r="AM156" s="75">
        <f t="shared" si="327"/>
        <v>325</v>
      </c>
      <c r="AN156" s="75">
        <f t="shared" si="327"/>
        <v>325</v>
      </c>
      <c r="AO156" s="75">
        <f t="shared" si="327"/>
        <v>325</v>
      </c>
      <c r="AP156" s="75">
        <f t="shared" si="327"/>
        <v>325</v>
      </c>
      <c r="AQ156" s="75">
        <f t="shared" si="327"/>
        <v>325</v>
      </c>
      <c r="AR156" s="75">
        <f t="shared" si="327"/>
        <v>325</v>
      </c>
      <c r="AS156" s="75">
        <f t="shared" si="327"/>
        <v>325</v>
      </c>
      <c r="AT156" s="75">
        <f t="shared" si="327"/>
        <v>325</v>
      </c>
      <c r="AU156" s="75">
        <f t="shared" si="327"/>
        <v>325</v>
      </c>
      <c r="AV156" s="75">
        <f t="shared" si="327"/>
        <v>325</v>
      </c>
      <c r="AW156" s="75">
        <f t="shared" si="327"/>
        <v>325</v>
      </c>
      <c r="AX156" s="75">
        <f t="shared" si="327"/>
        <v>325</v>
      </c>
      <c r="AY156" s="75">
        <f t="shared" si="327"/>
        <v>325</v>
      </c>
      <c r="AZ156" s="75">
        <f t="shared" si="327"/>
        <v>325</v>
      </c>
      <c r="BA156" s="75">
        <f t="shared" si="327"/>
        <v>325</v>
      </c>
      <c r="BB156" s="75">
        <f t="shared" si="327"/>
        <v>325</v>
      </c>
      <c r="BC156" s="75">
        <f t="shared" si="327"/>
        <v>325</v>
      </c>
      <c r="BD156" s="61"/>
      <c r="BE156" s="79">
        <f t="shared" si="276"/>
        <v>0</v>
      </c>
      <c r="BF156" s="79">
        <f t="shared" si="277"/>
        <v>3900</v>
      </c>
      <c r="BG156" s="79">
        <f t="shared" si="277"/>
        <v>3900</v>
      </c>
      <c r="BH156" s="79">
        <f t="shared" si="277"/>
        <v>3900</v>
      </c>
    </row>
    <row r="157" spans="2:60" ht="21" customHeight="1" x14ac:dyDescent="0.3">
      <c r="B157" s="60" t="str">
        <f>$B$32</f>
        <v>Health Care Assistants</v>
      </c>
      <c r="C157" s="48">
        <f>IF(C$32="","",C$32)</f>
        <v>43922</v>
      </c>
      <c r="D157" s="48" t="str">
        <f>IF(D$32="","",D$32)</f>
        <v/>
      </c>
      <c r="E157" s="47">
        <f>IF(E$32="","",E$32)</f>
        <v>6</v>
      </c>
      <c r="F157" s="79"/>
      <c r="G157" s="75"/>
      <c r="H157" s="75">
        <f>IFERROR(MIN(1,MAX(0,(EOMONTH(H$4,0)+1-$C157)/(EDATE($C157,$E157)-$C157)))*$F157/12+IF(AND(H$4&gt;=EOMONTH($C157,0),H$4&lt;=EOMONTH($C157,11)),$G157/12,0),0)</f>
        <v>0</v>
      </c>
      <c r="I157" s="75">
        <f t="shared" si="327"/>
        <v>0</v>
      </c>
      <c r="J157" s="75">
        <f t="shared" si="327"/>
        <v>0</v>
      </c>
      <c r="K157" s="75">
        <f t="shared" si="327"/>
        <v>0</v>
      </c>
      <c r="L157" s="75">
        <f t="shared" si="327"/>
        <v>0</v>
      </c>
      <c r="M157" s="75">
        <f t="shared" si="327"/>
        <v>0</v>
      </c>
      <c r="N157" s="75">
        <f t="shared" si="327"/>
        <v>0</v>
      </c>
      <c r="O157" s="75">
        <f t="shared" si="327"/>
        <v>0</v>
      </c>
      <c r="P157" s="75">
        <f t="shared" si="327"/>
        <v>0</v>
      </c>
      <c r="Q157" s="75">
        <f t="shared" si="327"/>
        <v>0</v>
      </c>
      <c r="R157" s="75">
        <f t="shared" si="327"/>
        <v>0</v>
      </c>
      <c r="S157" s="75">
        <f t="shared" si="327"/>
        <v>0</v>
      </c>
      <c r="T157" s="75">
        <f t="shared" si="327"/>
        <v>0</v>
      </c>
      <c r="U157" s="75">
        <f t="shared" si="327"/>
        <v>0</v>
      </c>
      <c r="V157" s="75">
        <f t="shared" si="327"/>
        <v>0</v>
      </c>
      <c r="W157" s="75">
        <f t="shared" si="327"/>
        <v>0</v>
      </c>
      <c r="X157" s="75">
        <f t="shared" si="327"/>
        <v>0</v>
      </c>
      <c r="Y157" s="75">
        <f t="shared" si="327"/>
        <v>0</v>
      </c>
      <c r="Z157" s="75">
        <f t="shared" si="327"/>
        <v>0</v>
      </c>
      <c r="AA157" s="75">
        <f t="shared" si="327"/>
        <v>0</v>
      </c>
      <c r="AB157" s="75">
        <f t="shared" si="327"/>
        <v>0</v>
      </c>
      <c r="AC157" s="75">
        <f t="shared" si="327"/>
        <v>0</v>
      </c>
      <c r="AD157" s="75">
        <f t="shared" si="327"/>
        <v>0</v>
      </c>
      <c r="AE157" s="75">
        <f t="shared" si="327"/>
        <v>0</v>
      </c>
      <c r="AF157" s="75">
        <f t="shared" si="327"/>
        <v>0</v>
      </c>
      <c r="AG157" s="75">
        <f t="shared" si="327"/>
        <v>0</v>
      </c>
      <c r="AH157" s="75">
        <f t="shared" si="327"/>
        <v>0</v>
      </c>
      <c r="AI157" s="75">
        <f t="shared" si="327"/>
        <v>0</v>
      </c>
      <c r="AJ157" s="75">
        <f t="shared" si="327"/>
        <v>0</v>
      </c>
      <c r="AK157" s="75">
        <f t="shared" si="327"/>
        <v>0</v>
      </c>
      <c r="AL157" s="75">
        <f t="shared" si="327"/>
        <v>0</v>
      </c>
      <c r="AM157" s="75">
        <f t="shared" si="327"/>
        <v>0</v>
      </c>
      <c r="AN157" s="75">
        <f t="shared" si="327"/>
        <v>0</v>
      </c>
      <c r="AO157" s="75">
        <f t="shared" si="327"/>
        <v>0</v>
      </c>
      <c r="AP157" s="75">
        <f t="shared" si="327"/>
        <v>0</v>
      </c>
      <c r="AQ157" s="75">
        <f t="shared" si="327"/>
        <v>0</v>
      </c>
      <c r="AR157" s="75">
        <f t="shared" si="327"/>
        <v>0</v>
      </c>
      <c r="AS157" s="75">
        <f t="shared" si="327"/>
        <v>0</v>
      </c>
      <c r="AT157" s="75">
        <f t="shared" si="327"/>
        <v>0</v>
      </c>
      <c r="AU157" s="75">
        <f t="shared" si="327"/>
        <v>0</v>
      </c>
      <c r="AV157" s="75">
        <f t="shared" si="327"/>
        <v>0</v>
      </c>
      <c r="AW157" s="75">
        <f t="shared" si="327"/>
        <v>0</v>
      </c>
      <c r="AX157" s="75">
        <f t="shared" si="327"/>
        <v>0</v>
      </c>
      <c r="AY157" s="75">
        <f t="shared" si="327"/>
        <v>0</v>
      </c>
      <c r="AZ157" s="75">
        <f t="shared" si="327"/>
        <v>0</v>
      </c>
      <c r="BA157" s="75">
        <f t="shared" si="327"/>
        <v>0</v>
      </c>
      <c r="BB157" s="75">
        <f t="shared" si="327"/>
        <v>0</v>
      </c>
      <c r="BC157" s="75">
        <f t="shared" si="327"/>
        <v>0</v>
      </c>
      <c r="BD157" s="61"/>
      <c r="BE157" s="79">
        <f t="shared" si="276"/>
        <v>0</v>
      </c>
      <c r="BF157" s="79">
        <f t="shared" si="277"/>
        <v>0</v>
      </c>
      <c r="BG157" s="79">
        <f t="shared" si="277"/>
        <v>0</v>
      </c>
      <c r="BH157" s="79">
        <f t="shared" si="277"/>
        <v>0</v>
      </c>
    </row>
    <row r="158" spans="2:60" ht="21" customHeight="1" x14ac:dyDescent="0.3">
      <c r="B158" s="60" t="str">
        <f>$B$33</f>
        <v>Patient portals</v>
      </c>
      <c r="C158" s="48">
        <f>IF(C$33="","",C$33)</f>
        <v>43922</v>
      </c>
      <c r="D158" s="48" t="str">
        <f>IF(D$33="","",D$33)</f>
        <v/>
      </c>
      <c r="E158" s="47">
        <f>IF(E$33="","",E$33)</f>
        <v>36</v>
      </c>
      <c r="F158" s="79">
        <f>'Patient Portal'!E15</f>
        <v>-155937.59999999998</v>
      </c>
      <c r="G158" s="75"/>
      <c r="H158" s="75">
        <f>IFERROR(MIN(1,MAX(0,(EOMONTH(H$4,0)+1-$C158)/(EDATE($C158,$E158)-$C158)))*$F158/12+IF(AND(H$4&gt;=EOMONTH($C158,0),H$4&lt;=EOMONTH($C158,11)),$G158/12,0),0)</f>
        <v>0</v>
      </c>
      <c r="I158" s="75">
        <f t="shared" si="327"/>
        <v>0</v>
      </c>
      <c r="J158" s="75">
        <f t="shared" si="327"/>
        <v>0</v>
      </c>
      <c r="K158" s="75">
        <f t="shared" si="327"/>
        <v>0</v>
      </c>
      <c r="L158" s="75">
        <f t="shared" si="327"/>
        <v>0</v>
      </c>
      <c r="M158" s="75">
        <f t="shared" si="327"/>
        <v>0</v>
      </c>
      <c r="N158" s="75">
        <f t="shared" si="327"/>
        <v>0</v>
      </c>
      <c r="O158" s="75">
        <f t="shared" si="327"/>
        <v>0</v>
      </c>
      <c r="P158" s="75">
        <f t="shared" si="327"/>
        <v>0</v>
      </c>
      <c r="Q158" s="75">
        <f t="shared" si="327"/>
        <v>0</v>
      </c>
      <c r="R158" s="75">
        <f t="shared" si="327"/>
        <v>0</v>
      </c>
      <c r="S158" s="75">
        <f t="shared" si="327"/>
        <v>0</v>
      </c>
      <c r="T158" s="75">
        <f t="shared" si="327"/>
        <v>-356.02191780821909</v>
      </c>
      <c r="U158" s="75">
        <f t="shared" si="327"/>
        <v>-723.91123287671223</v>
      </c>
      <c r="V158" s="75">
        <f t="shared" si="327"/>
        <v>-1079.9331506849314</v>
      </c>
      <c r="W158" s="75">
        <f t="shared" si="327"/>
        <v>-1447.8224657534245</v>
      </c>
      <c r="X158" s="75">
        <f t="shared" si="327"/>
        <v>-1815.7117808219175</v>
      </c>
      <c r="Y158" s="75">
        <f t="shared" si="327"/>
        <v>-2171.7336986301366</v>
      </c>
      <c r="Z158" s="75">
        <f t="shared" si="327"/>
        <v>-2539.6230136986301</v>
      </c>
      <c r="AA158" s="75">
        <f t="shared" si="327"/>
        <v>-2895.6449315068489</v>
      </c>
      <c r="AB158" s="75">
        <f t="shared" si="327"/>
        <v>-3263.534246575342</v>
      </c>
      <c r="AC158" s="75">
        <f t="shared" ref="AC158:BC158" si="328">IFERROR(MIN(1,MAX(0,(EOMONTH(AC$4,0)+1-$C158)/(EDATE($C158,$E158)-$C158)))*$F158/12+IF(AND(AC$4&gt;=EOMONTH($C158,0),AC$4&lt;=EOMONTH($C158,11)),$G158/12,0),0)</f>
        <v>-3631.423561643835</v>
      </c>
      <c r="AD158" s="75">
        <f t="shared" si="328"/>
        <v>-3963.7106849315064</v>
      </c>
      <c r="AE158" s="75">
        <f t="shared" si="328"/>
        <v>-4331.5999999999995</v>
      </c>
      <c r="AF158" s="75">
        <f t="shared" si="328"/>
        <v>-4687.6219178082183</v>
      </c>
      <c r="AG158" s="75">
        <f t="shared" si="328"/>
        <v>-5055.5112328767118</v>
      </c>
      <c r="AH158" s="75">
        <f t="shared" si="328"/>
        <v>-5411.5331506849307</v>
      </c>
      <c r="AI158" s="75">
        <f t="shared" si="328"/>
        <v>-5779.4224657534241</v>
      </c>
      <c r="AJ158" s="75">
        <f t="shared" si="328"/>
        <v>-6147.3117808219176</v>
      </c>
      <c r="AK158" s="75">
        <f t="shared" si="328"/>
        <v>-6503.3336986301365</v>
      </c>
      <c r="AL158" s="75">
        <f t="shared" si="328"/>
        <v>-6871.22301369863</v>
      </c>
      <c r="AM158" s="75">
        <f t="shared" si="328"/>
        <v>-7227.2449315068488</v>
      </c>
      <c r="AN158" s="75">
        <f t="shared" si="328"/>
        <v>-7595.1342465753405</v>
      </c>
      <c r="AO158" s="75">
        <f t="shared" si="328"/>
        <v>-7963.023561643834</v>
      </c>
      <c r="AP158" s="75">
        <f t="shared" si="328"/>
        <v>-8295.3106849315063</v>
      </c>
      <c r="AQ158" s="75">
        <f t="shared" si="328"/>
        <v>-8663.1999999999989</v>
      </c>
      <c r="AR158" s="75">
        <f t="shared" si="328"/>
        <v>-9019.2219178082178</v>
      </c>
      <c r="AS158" s="75">
        <f t="shared" si="328"/>
        <v>-9387.1112328767103</v>
      </c>
      <c r="AT158" s="75">
        <f t="shared" si="328"/>
        <v>-9743.1331506849292</v>
      </c>
      <c r="AU158" s="75">
        <f t="shared" si="328"/>
        <v>-10111.022465753424</v>
      </c>
      <c r="AV158" s="75">
        <f t="shared" si="328"/>
        <v>-10478.911780821918</v>
      </c>
      <c r="AW158" s="75">
        <f t="shared" si="328"/>
        <v>-10834.933698630137</v>
      </c>
      <c r="AX158" s="75">
        <f t="shared" si="328"/>
        <v>-11202.823013698629</v>
      </c>
      <c r="AY158" s="75">
        <f t="shared" si="328"/>
        <v>-11558.844931506848</v>
      </c>
      <c r="AZ158" s="75">
        <f t="shared" si="328"/>
        <v>-11926.734246575341</v>
      </c>
      <c r="BA158" s="75">
        <f t="shared" si="328"/>
        <v>-12294.623561643835</v>
      </c>
      <c r="BB158" s="75">
        <f t="shared" si="328"/>
        <v>-12626.910684931505</v>
      </c>
      <c r="BC158" s="75">
        <f t="shared" si="328"/>
        <v>-12994.799999999997</v>
      </c>
      <c r="BD158" s="61"/>
      <c r="BE158" s="79">
        <f t="shared" si="276"/>
        <v>0</v>
      </c>
      <c r="BF158" s="79">
        <f t="shared" si="277"/>
        <v>-28220.670684931501</v>
      </c>
      <c r="BG158" s="79">
        <f t="shared" si="277"/>
        <v>-80199.870684931506</v>
      </c>
      <c r="BH158" s="79">
        <f t="shared" si="277"/>
        <v>-132179.07068493147</v>
      </c>
    </row>
    <row r="159" spans="2:60" ht="21" customHeight="1" x14ac:dyDescent="0.3">
      <c r="B159" s="60" t="str">
        <f>$B$34</f>
        <v>Other (staff release for training and implementation activity)</v>
      </c>
      <c r="C159" s="48">
        <f>IF(C$34="","",C$34)</f>
        <v>43922</v>
      </c>
      <c r="D159" s="48">
        <f>IF(D$34="","",D$34)</f>
        <v>44651</v>
      </c>
      <c r="E159" s="47">
        <f>IF(E$34="","",E$34)</f>
        <v>1</v>
      </c>
      <c r="F159" s="79"/>
      <c r="G159" s="75">
        <f>Other!C95*60</f>
        <v>0</v>
      </c>
      <c r="H159" s="75">
        <f>IFERROR(MIN(1,MAX(0,(EOMONTH(H$4,0)+1-$C159)/(EDATE($C159,$E159)-$C159)))*$F159/12+IF(AND(H$4&gt;=EOMONTH($C159,0),H$4&lt;=EOMONTH($C159,11)),$G159/12,0),0)</f>
        <v>0</v>
      </c>
      <c r="I159" s="75">
        <f t="shared" ref="I159:BC159" si="329">IFERROR(MIN(1,MAX(0,(EOMONTH(I$4,0)+1-$C159)/(EDATE($C159,$E159)-$C159)))*$F159/12+IF(AND(I$4&gt;=EOMONTH($C159,0),I$4&lt;=EOMONTH($C159,11)),$G159/12,0),0)</f>
        <v>0</v>
      </c>
      <c r="J159" s="75">
        <f t="shared" si="329"/>
        <v>0</v>
      </c>
      <c r="K159" s="75">
        <f t="shared" si="329"/>
        <v>0</v>
      </c>
      <c r="L159" s="75">
        <f t="shared" si="329"/>
        <v>0</v>
      </c>
      <c r="M159" s="75">
        <f t="shared" si="329"/>
        <v>0</v>
      </c>
      <c r="N159" s="75">
        <f t="shared" si="329"/>
        <v>0</v>
      </c>
      <c r="O159" s="75">
        <f t="shared" si="329"/>
        <v>0</v>
      </c>
      <c r="P159" s="75">
        <f t="shared" si="329"/>
        <v>0</v>
      </c>
      <c r="Q159" s="75">
        <f t="shared" si="329"/>
        <v>0</v>
      </c>
      <c r="R159" s="75">
        <f t="shared" si="329"/>
        <v>0</v>
      </c>
      <c r="S159" s="75">
        <f t="shared" si="329"/>
        <v>0</v>
      </c>
      <c r="T159" s="75">
        <f t="shared" si="329"/>
        <v>0</v>
      </c>
      <c r="U159" s="75">
        <f t="shared" si="329"/>
        <v>0</v>
      </c>
      <c r="V159" s="75">
        <f t="shared" si="329"/>
        <v>0</v>
      </c>
      <c r="W159" s="75">
        <f t="shared" si="329"/>
        <v>0</v>
      </c>
      <c r="X159" s="75">
        <f t="shared" si="329"/>
        <v>0</v>
      </c>
      <c r="Y159" s="75">
        <f t="shared" si="329"/>
        <v>0</v>
      </c>
      <c r="Z159" s="75">
        <f t="shared" si="329"/>
        <v>0</v>
      </c>
      <c r="AA159" s="75">
        <f t="shared" si="329"/>
        <v>0</v>
      </c>
      <c r="AB159" s="75">
        <f t="shared" si="329"/>
        <v>0</v>
      </c>
      <c r="AC159" s="75">
        <f t="shared" si="329"/>
        <v>0</v>
      </c>
      <c r="AD159" s="75">
        <f t="shared" si="329"/>
        <v>0</v>
      </c>
      <c r="AE159" s="75">
        <f t="shared" si="329"/>
        <v>0</v>
      </c>
      <c r="AF159" s="75">
        <f t="shared" si="329"/>
        <v>0</v>
      </c>
      <c r="AG159" s="75">
        <f t="shared" si="329"/>
        <v>0</v>
      </c>
      <c r="AH159" s="75">
        <f t="shared" si="329"/>
        <v>0</v>
      </c>
      <c r="AI159" s="75">
        <f t="shared" si="329"/>
        <v>0</v>
      </c>
      <c r="AJ159" s="75">
        <f t="shared" si="329"/>
        <v>0</v>
      </c>
      <c r="AK159" s="75">
        <f t="shared" si="329"/>
        <v>0</v>
      </c>
      <c r="AL159" s="75">
        <f t="shared" si="329"/>
        <v>0</v>
      </c>
      <c r="AM159" s="75">
        <f t="shared" si="329"/>
        <v>0</v>
      </c>
      <c r="AN159" s="75">
        <f t="shared" si="329"/>
        <v>0</v>
      </c>
      <c r="AO159" s="75">
        <f t="shared" si="329"/>
        <v>0</v>
      </c>
      <c r="AP159" s="75">
        <f t="shared" si="329"/>
        <v>0</v>
      </c>
      <c r="AQ159" s="75">
        <f t="shared" si="329"/>
        <v>0</v>
      </c>
      <c r="AR159" s="75">
        <f t="shared" si="329"/>
        <v>0</v>
      </c>
      <c r="AS159" s="75">
        <f t="shared" si="329"/>
        <v>0</v>
      </c>
      <c r="AT159" s="75">
        <f t="shared" si="329"/>
        <v>0</v>
      </c>
      <c r="AU159" s="75">
        <f t="shared" si="329"/>
        <v>0</v>
      </c>
      <c r="AV159" s="75">
        <f t="shared" si="329"/>
        <v>0</v>
      </c>
      <c r="AW159" s="75">
        <f t="shared" si="329"/>
        <v>0</v>
      </c>
      <c r="AX159" s="75">
        <f t="shared" si="329"/>
        <v>0</v>
      </c>
      <c r="AY159" s="75">
        <f t="shared" si="329"/>
        <v>0</v>
      </c>
      <c r="AZ159" s="75">
        <f t="shared" si="329"/>
        <v>0</v>
      </c>
      <c r="BA159" s="75">
        <f t="shared" si="329"/>
        <v>0</v>
      </c>
      <c r="BB159" s="75">
        <f t="shared" si="329"/>
        <v>0</v>
      </c>
      <c r="BC159" s="75">
        <f t="shared" si="329"/>
        <v>0</v>
      </c>
      <c r="BD159" s="61"/>
      <c r="BE159" s="79">
        <f t="shared" si="276"/>
        <v>0</v>
      </c>
      <c r="BF159" s="79">
        <f t="shared" si="277"/>
        <v>0</v>
      </c>
      <c r="BG159" s="79">
        <f t="shared" si="277"/>
        <v>0</v>
      </c>
      <c r="BH159" s="79">
        <f t="shared" si="277"/>
        <v>0</v>
      </c>
    </row>
    <row r="160" spans="2:60" ht="21" customHeight="1" x14ac:dyDescent="0.3">
      <c r="B160" s="49"/>
      <c r="C160" s="49"/>
      <c r="D160" s="49"/>
      <c r="E160" s="49"/>
    </row>
    <row r="161" spans="2:60" ht="21" customHeight="1" x14ac:dyDescent="0.3">
      <c r="B161" s="60" t="s">
        <v>153</v>
      </c>
      <c r="C161" s="48"/>
      <c r="D161" s="48"/>
      <c r="E161" s="47">
        <f>IF(E139="","",E139)</f>
        <v>1</v>
      </c>
      <c r="F161" s="19">
        <f>SUM(F144:F159)</f>
        <v>-36837.599999999977</v>
      </c>
      <c r="H161" s="79">
        <f t="shared" ref="H161:BC161" si="330">SUM(H144:H159)</f>
        <v>0</v>
      </c>
      <c r="I161" s="79">
        <f t="shared" si="330"/>
        <v>0</v>
      </c>
      <c r="J161" s="79">
        <f t="shared" si="330"/>
        <v>0</v>
      </c>
      <c r="K161" s="79">
        <f t="shared" si="330"/>
        <v>0</v>
      </c>
      <c r="L161" s="79">
        <f t="shared" si="330"/>
        <v>0</v>
      </c>
      <c r="M161" s="79">
        <f t="shared" si="330"/>
        <v>0</v>
      </c>
      <c r="N161" s="79">
        <f t="shared" si="330"/>
        <v>0</v>
      </c>
      <c r="O161" s="79">
        <f t="shared" si="330"/>
        <v>0</v>
      </c>
      <c r="P161" s="79">
        <f t="shared" si="330"/>
        <v>0</v>
      </c>
      <c r="Q161" s="79">
        <f t="shared" si="330"/>
        <v>0</v>
      </c>
      <c r="R161" s="79">
        <f t="shared" si="330"/>
        <v>0</v>
      </c>
      <c r="S161" s="79">
        <f t="shared" si="330"/>
        <v>0</v>
      </c>
      <c r="T161" s="79">
        <f t="shared" si="330"/>
        <v>9568.9780821917811</v>
      </c>
      <c r="U161" s="79">
        <f t="shared" si="330"/>
        <v>9201.0887671232886</v>
      </c>
      <c r="V161" s="79">
        <f t="shared" si="330"/>
        <v>8845.0668493150679</v>
      </c>
      <c r="W161" s="79">
        <f t="shared" si="330"/>
        <v>8477.1775342465753</v>
      </c>
      <c r="X161" s="79">
        <f t="shared" si="330"/>
        <v>8109.2882191780827</v>
      </c>
      <c r="Y161" s="79">
        <f t="shared" si="330"/>
        <v>7753.2663013698639</v>
      </c>
      <c r="Z161" s="79">
        <f t="shared" si="330"/>
        <v>7385.3769863013695</v>
      </c>
      <c r="AA161" s="79">
        <f t="shared" si="330"/>
        <v>7029.3550684931506</v>
      </c>
      <c r="AB161" s="79">
        <f t="shared" si="330"/>
        <v>6661.465753424658</v>
      </c>
      <c r="AC161" s="79">
        <f t="shared" si="330"/>
        <v>6293.5764383561655</v>
      </c>
      <c r="AD161" s="79">
        <f t="shared" si="330"/>
        <v>5961.289315068494</v>
      </c>
      <c r="AE161" s="79">
        <f t="shared" si="330"/>
        <v>5593.4000000000005</v>
      </c>
      <c r="AF161" s="79">
        <f t="shared" si="330"/>
        <v>5237.3780821917817</v>
      </c>
      <c r="AG161" s="79">
        <f t="shared" si="330"/>
        <v>4869.4887671232882</v>
      </c>
      <c r="AH161" s="79">
        <f t="shared" si="330"/>
        <v>4513.4668493150693</v>
      </c>
      <c r="AI161" s="79">
        <f t="shared" si="330"/>
        <v>4145.5775342465759</v>
      </c>
      <c r="AJ161" s="79">
        <f t="shared" si="330"/>
        <v>3777.6882191780824</v>
      </c>
      <c r="AK161" s="79">
        <f t="shared" si="330"/>
        <v>3421.6663013698635</v>
      </c>
      <c r="AL161" s="79">
        <f t="shared" si="330"/>
        <v>3053.77698630137</v>
      </c>
      <c r="AM161" s="79">
        <f t="shared" si="330"/>
        <v>2697.7550684931512</v>
      </c>
      <c r="AN161" s="79">
        <f t="shared" si="330"/>
        <v>2329.8657534246595</v>
      </c>
      <c r="AO161" s="79">
        <f t="shared" si="330"/>
        <v>1961.976438356166</v>
      </c>
      <c r="AP161" s="79">
        <f t="shared" si="330"/>
        <v>1629.6893150684937</v>
      </c>
      <c r="AQ161" s="79">
        <f t="shared" si="330"/>
        <v>1261.8000000000011</v>
      </c>
      <c r="AR161" s="79">
        <f t="shared" si="330"/>
        <v>905.77808219178223</v>
      </c>
      <c r="AS161" s="79">
        <f t="shared" si="330"/>
        <v>537.88876712328965</v>
      </c>
      <c r="AT161" s="79">
        <f t="shared" si="330"/>
        <v>181.86684931507079</v>
      </c>
      <c r="AU161" s="79">
        <f t="shared" si="330"/>
        <v>-186.0224657534236</v>
      </c>
      <c r="AV161" s="79">
        <f t="shared" si="330"/>
        <v>-553.911780821918</v>
      </c>
      <c r="AW161" s="79">
        <f t="shared" si="330"/>
        <v>-909.93369863013686</v>
      </c>
      <c r="AX161" s="79">
        <f t="shared" si="330"/>
        <v>-1277.8230136986294</v>
      </c>
      <c r="AY161" s="79">
        <f t="shared" si="330"/>
        <v>-1633.8449315068483</v>
      </c>
      <c r="AZ161" s="79">
        <f t="shared" si="330"/>
        <v>-2001.7342465753409</v>
      </c>
      <c r="BA161" s="79">
        <f t="shared" si="330"/>
        <v>-2369.6235616438353</v>
      </c>
      <c r="BB161" s="79">
        <f t="shared" si="330"/>
        <v>-2701.9106849315049</v>
      </c>
      <c r="BC161" s="79">
        <f t="shared" si="330"/>
        <v>-3069.7999999999975</v>
      </c>
      <c r="BD161" s="61"/>
      <c r="BE161" s="79">
        <f>SUMIF($H$3:$BD$3,BE$3,$H161:$BD161)</f>
        <v>0</v>
      </c>
      <c r="BF161" s="79">
        <f t="shared" ref="BF161:BH161" si="331">SUMIF($H$3:$BD$3,BF$3,$H161:$BD161)</f>
        <v>90879.329315068506</v>
      </c>
      <c r="BG161" s="79">
        <f t="shared" si="331"/>
        <v>38900.129315068501</v>
      </c>
      <c r="BH161" s="79">
        <f t="shared" si="331"/>
        <v>-13079.070684931492</v>
      </c>
    </row>
  </sheetData>
  <sheetProtection selectLockedCells="1" selectUnlockedCells="1"/>
  <mergeCells count="1">
    <mergeCell ref="BE2:B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158"/>
  <sheetViews>
    <sheetView topLeftCell="B1" zoomScale="102" zoomScaleNormal="102" workbookViewId="0">
      <selection activeCell="E14" sqref="E14"/>
    </sheetView>
  </sheetViews>
  <sheetFormatPr defaultColWidth="9.109375" defaultRowHeight="23.25" customHeight="1" x14ac:dyDescent="0.3"/>
  <cols>
    <col min="1" max="1" width="9.109375" style="3"/>
    <col min="2" max="2" width="41.33203125" style="4" bestFit="1" customWidth="1"/>
    <col min="3" max="3" width="14.44140625" style="5" customWidth="1"/>
    <col min="4" max="4" width="2.6640625" style="3" customWidth="1"/>
    <col min="5" max="5" width="45.44140625" style="3" customWidth="1"/>
    <col min="6" max="6" width="16.6640625" style="5" customWidth="1"/>
    <col min="7" max="7" width="3" style="3" customWidth="1"/>
    <col min="8" max="8" width="60.44140625" style="3" customWidth="1"/>
    <col min="9" max="9" width="15.33203125" style="3" customWidth="1"/>
    <col min="10" max="10" width="21.44140625" style="93" customWidth="1"/>
    <col min="11" max="11" width="11.5546875" style="93" customWidth="1"/>
    <col min="12" max="12" width="18.44140625" style="3" hidden="1" customWidth="1"/>
    <col min="13" max="13" width="9.5546875" style="3" customWidth="1"/>
    <col min="14" max="14" width="34.109375" style="3" customWidth="1"/>
    <col min="15" max="15" width="18.33203125" style="3" customWidth="1"/>
    <col min="16" max="16" width="63.33203125" style="3" bestFit="1" customWidth="1"/>
    <col min="17" max="17" width="9.109375" style="3"/>
    <col min="18" max="18" width="2.6640625" style="3" customWidth="1"/>
    <col min="19" max="19" width="42.6640625" style="3" bestFit="1" customWidth="1"/>
    <col min="20" max="20" width="9.109375" style="3"/>
    <col min="21" max="21" width="3.109375" style="3" customWidth="1"/>
    <col min="22" max="22" width="33.88671875" style="3" customWidth="1"/>
    <col min="23" max="16384" width="9.109375" style="3"/>
  </cols>
  <sheetData>
    <row r="1" spans="1:16" ht="23.25" customHeight="1" thickBot="1" x14ac:dyDescent="0.35">
      <c r="A1" s="33"/>
      <c r="J1" s="3"/>
      <c r="K1" s="3"/>
    </row>
    <row r="2" spans="1:16" ht="23.25" customHeight="1" thickBot="1" x14ac:dyDescent="0.35">
      <c r="B2" s="222" t="s">
        <v>176</v>
      </c>
      <c r="C2" s="223"/>
      <c r="H2" s="217" t="s">
        <v>166</v>
      </c>
      <c r="I2" s="218"/>
      <c r="J2" s="218"/>
      <c r="K2" s="219"/>
      <c r="N2" s="28" t="s">
        <v>30</v>
      </c>
      <c r="O2" s="68" t="s">
        <v>116</v>
      </c>
    </row>
    <row r="3" spans="1:16" ht="23.25" customHeight="1" x14ac:dyDescent="0.3">
      <c r="H3" s="214" t="s">
        <v>159</v>
      </c>
      <c r="I3" s="215"/>
      <c r="J3" s="215"/>
      <c r="K3" s="216"/>
      <c r="N3" s="83" t="s">
        <v>20</v>
      </c>
      <c r="O3" s="29">
        <f>SUMIFS($I:$I,$J:$J,$L$4,$K:$K,$L21)</f>
        <v>380000</v>
      </c>
    </row>
    <row r="4" spans="1:16" ht="23.25" customHeight="1" x14ac:dyDescent="0.3">
      <c r="B4" s="18" t="s">
        <v>248</v>
      </c>
      <c r="C4" s="46">
        <v>43556</v>
      </c>
      <c r="E4" s="220" t="s">
        <v>174</v>
      </c>
      <c r="F4" s="221"/>
      <c r="L4" s="3" t="s">
        <v>127</v>
      </c>
      <c r="N4" s="83" t="s">
        <v>102</v>
      </c>
      <c r="O4" s="29">
        <f>SUMIFS($I:$I,$J:$J,$L$4,$K:$K,$L22)</f>
        <v>2000000</v>
      </c>
    </row>
    <row r="5" spans="1:16" ht="23.25" customHeight="1" x14ac:dyDescent="0.3">
      <c r="B5" s="18" t="s">
        <v>249</v>
      </c>
      <c r="C5" s="88">
        <f>EOMONTH(C4,35)</f>
        <v>44651</v>
      </c>
      <c r="E5" s="18" t="s">
        <v>52</v>
      </c>
      <c r="F5" s="170">
        <v>360000</v>
      </c>
      <c r="H5" s="18" t="s">
        <v>128</v>
      </c>
      <c r="I5" s="92" t="s">
        <v>29</v>
      </c>
      <c r="J5" s="69" t="s">
        <v>121</v>
      </c>
      <c r="K5" s="69" t="s">
        <v>124</v>
      </c>
      <c r="L5" s="3" t="s">
        <v>23</v>
      </c>
      <c r="N5" s="29" t="s">
        <v>103</v>
      </c>
      <c r="O5" s="29">
        <f>SUM(O3:O4)</f>
        <v>2380000</v>
      </c>
    </row>
    <row r="6" spans="1:16" ht="23.25" customHeight="1" x14ac:dyDescent="0.3">
      <c r="E6" s="18" t="s">
        <v>175</v>
      </c>
      <c r="F6" s="128">
        <v>30000</v>
      </c>
      <c r="H6" s="116" t="s">
        <v>216</v>
      </c>
      <c r="I6" s="115">
        <v>380000</v>
      </c>
      <c r="J6" s="113" t="s">
        <v>127</v>
      </c>
      <c r="K6" s="113" t="s">
        <v>122</v>
      </c>
      <c r="L6" s="3" t="s">
        <v>125</v>
      </c>
      <c r="N6" s="1"/>
      <c r="O6" s="1"/>
    </row>
    <row r="7" spans="1:16" ht="23.25" customHeight="1" x14ac:dyDescent="0.3">
      <c r="B7" s="18" t="s">
        <v>8</v>
      </c>
      <c r="C7" s="128">
        <v>10000</v>
      </c>
      <c r="E7" s="18" t="s">
        <v>53</v>
      </c>
      <c r="F7" s="134">
        <f>IFERROR(F5/F6,0)</f>
        <v>12</v>
      </c>
      <c r="H7" s="112" t="s">
        <v>224</v>
      </c>
      <c r="I7" s="115">
        <v>2000000</v>
      </c>
      <c r="J7" s="113" t="s">
        <v>127</v>
      </c>
      <c r="K7" s="113" t="s">
        <v>123</v>
      </c>
      <c r="L7" s="3" t="s">
        <v>129</v>
      </c>
      <c r="N7" s="29" t="s">
        <v>22</v>
      </c>
      <c r="O7" s="1"/>
    </row>
    <row r="8" spans="1:16" ht="23.25" customHeight="1" x14ac:dyDescent="0.3">
      <c r="F8" s="3"/>
      <c r="H8" s="112"/>
      <c r="I8" s="115"/>
      <c r="J8" s="113"/>
      <c r="K8" s="113"/>
      <c r="L8" s="3" t="s">
        <v>130</v>
      </c>
      <c r="N8" s="83" t="s">
        <v>107</v>
      </c>
      <c r="O8" s="29">
        <f>SUMIF($J:$J,$L$6,$I:$I)</f>
        <v>100000</v>
      </c>
    </row>
    <row r="9" spans="1:16" ht="23.25" customHeight="1" x14ac:dyDescent="0.3">
      <c r="B9" s="220" t="s">
        <v>145</v>
      </c>
      <c r="C9" s="221"/>
      <c r="E9" s="220" t="s">
        <v>177</v>
      </c>
      <c r="F9" s="221"/>
      <c r="H9" s="112" t="s">
        <v>217</v>
      </c>
      <c r="I9" s="115">
        <v>1278000</v>
      </c>
      <c r="J9" s="113" t="s">
        <v>129</v>
      </c>
      <c r="K9" s="113" t="s">
        <v>122</v>
      </c>
      <c r="L9" s="3" t="s">
        <v>131</v>
      </c>
      <c r="N9" s="94" t="s">
        <v>104</v>
      </c>
      <c r="O9" s="1"/>
    </row>
    <row r="10" spans="1:16" ht="23.25" customHeight="1" x14ac:dyDescent="0.3">
      <c r="B10" s="18" t="s">
        <v>172</v>
      </c>
      <c r="C10" s="23">
        <v>15</v>
      </c>
      <c r="E10" s="18" t="s">
        <v>54</v>
      </c>
      <c r="F10" s="170">
        <v>20000</v>
      </c>
      <c r="H10" s="112" t="s">
        <v>225</v>
      </c>
      <c r="I10" s="115">
        <v>45000</v>
      </c>
      <c r="J10" s="113" t="s">
        <v>131</v>
      </c>
      <c r="K10" s="113" t="s">
        <v>122</v>
      </c>
      <c r="L10" s="3" t="s">
        <v>132</v>
      </c>
      <c r="N10" s="85" t="s">
        <v>51</v>
      </c>
      <c r="O10" s="29">
        <f>SUMIF($J:$J,$L$7,$I:$I)</f>
        <v>1278000</v>
      </c>
      <c r="P10" s="13"/>
    </row>
    <row r="11" spans="1:16" ht="23.25" customHeight="1" x14ac:dyDescent="0.3">
      <c r="B11" s="18" t="s">
        <v>173</v>
      </c>
      <c r="C11" s="23">
        <v>15</v>
      </c>
      <c r="E11" s="18" t="s">
        <v>253</v>
      </c>
      <c r="F11" s="128">
        <v>20000</v>
      </c>
      <c r="H11" s="112" t="s">
        <v>226</v>
      </c>
      <c r="I11" s="115">
        <v>372000</v>
      </c>
      <c r="J11" s="113" t="s">
        <v>130</v>
      </c>
      <c r="K11" s="113" t="s">
        <v>122</v>
      </c>
      <c r="L11" s="3" t="s">
        <v>126</v>
      </c>
      <c r="N11" s="85" t="s">
        <v>105</v>
      </c>
      <c r="O11" s="29">
        <f>SUMIF($J:$J,$L$8,$I:$I)</f>
        <v>372000</v>
      </c>
    </row>
    <row r="12" spans="1:16" ht="23.25" customHeight="1" x14ac:dyDescent="0.3">
      <c r="B12" s="18" t="s">
        <v>146</v>
      </c>
      <c r="C12" s="100">
        <f>IF(C21&gt;0,C21,C20/10*9)</f>
        <v>7.1</v>
      </c>
      <c r="E12" s="18" t="s">
        <v>55</v>
      </c>
      <c r="F12" s="135">
        <f>F10/F11</f>
        <v>1</v>
      </c>
      <c r="H12" s="112" t="s">
        <v>227</v>
      </c>
      <c r="I12" s="115">
        <v>234000</v>
      </c>
      <c r="J12" s="113" t="s">
        <v>132</v>
      </c>
      <c r="K12" s="113" t="s">
        <v>122</v>
      </c>
      <c r="L12" s="3" t="s">
        <v>113</v>
      </c>
      <c r="N12" s="84" t="s">
        <v>106</v>
      </c>
      <c r="O12" s="29">
        <f>SUM(O9:O11)</f>
        <v>1650000</v>
      </c>
    </row>
    <row r="13" spans="1:16" ht="23.25" customHeight="1" x14ac:dyDescent="0.3">
      <c r="B13" s="18" t="s">
        <v>4</v>
      </c>
      <c r="C13" s="23">
        <v>6.2</v>
      </c>
      <c r="H13" s="112" t="s">
        <v>218</v>
      </c>
      <c r="I13" s="115">
        <v>100000</v>
      </c>
      <c r="J13" s="113" t="s">
        <v>125</v>
      </c>
      <c r="K13" s="113" t="s">
        <v>122</v>
      </c>
      <c r="N13" s="1"/>
      <c r="O13" s="1"/>
    </row>
    <row r="14" spans="1:16" ht="23.25" customHeight="1" x14ac:dyDescent="0.3">
      <c r="B14" s="18" t="s">
        <v>12</v>
      </c>
      <c r="C14" s="23">
        <v>5.2</v>
      </c>
      <c r="H14" s="112" t="s">
        <v>228</v>
      </c>
      <c r="I14" s="115">
        <v>71000</v>
      </c>
      <c r="J14" s="113" t="s">
        <v>126</v>
      </c>
      <c r="K14" s="113" t="s">
        <v>122</v>
      </c>
      <c r="N14" s="29" t="s">
        <v>108</v>
      </c>
      <c r="O14" s="29">
        <f>O8+O12</f>
        <v>1750000</v>
      </c>
    </row>
    <row r="15" spans="1:16" ht="23.25" customHeight="1" x14ac:dyDescent="0.3">
      <c r="B15" s="18" t="s">
        <v>382</v>
      </c>
      <c r="C15" s="101">
        <f>40*52</f>
        <v>2080</v>
      </c>
      <c r="H15" s="112" t="s">
        <v>219</v>
      </c>
      <c r="I15" s="115">
        <v>200000</v>
      </c>
      <c r="J15" s="113" t="s">
        <v>126</v>
      </c>
      <c r="K15" s="113" t="s">
        <v>123</v>
      </c>
      <c r="N15" s="1"/>
      <c r="O15" s="1"/>
    </row>
    <row r="16" spans="1:16" ht="23.25" customHeight="1" x14ac:dyDescent="0.3">
      <c r="B16" s="18" t="s">
        <v>349</v>
      </c>
      <c r="C16" s="113">
        <v>4</v>
      </c>
      <c r="H16" s="114"/>
      <c r="I16" s="115"/>
      <c r="J16" s="113"/>
      <c r="K16" s="113"/>
      <c r="N16" s="29" t="s">
        <v>109</v>
      </c>
      <c r="O16" s="29">
        <f>O5-O14</f>
        <v>630000</v>
      </c>
    </row>
    <row r="17" spans="2:15" ht="23.25" customHeight="1" x14ac:dyDescent="0.3">
      <c r="B17" s="18" t="s">
        <v>381</v>
      </c>
      <c r="C17" s="101">
        <f>C15-C16*40</f>
        <v>1920</v>
      </c>
      <c r="H17" s="112"/>
      <c r="I17" s="115"/>
      <c r="J17" s="113"/>
      <c r="K17" s="113"/>
      <c r="N17" s="1"/>
      <c r="O17" s="1"/>
    </row>
    <row r="18" spans="2:15" ht="23.25" customHeight="1" x14ac:dyDescent="0.3">
      <c r="H18" s="112"/>
      <c r="I18" s="115"/>
      <c r="J18" s="113"/>
      <c r="K18" s="113"/>
      <c r="N18" s="29" t="s">
        <v>21</v>
      </c>
      <c r="O18" s="1"/>
    </row>
    <row r="19" spans="2:15" ht="23.25" customHeight="1" x14ac:dyDescent="0.3">
      <c r="B19" s="110" t="s">
        <v>149</v>
      </c>
      <c r="H19" s="112"/>
      <c r="I19" s="115"/>
      <c r="J19" s="113"/>
      <c r="K19" s="113"/>
      <c r="N19" s="83" t="s">
        <v>119</v>
      </c>
      <c r="O19" s="1"/>
    </row>
    <row r="20" spans="2:15" ht="23.25" customHeight="1" x14ac:dyDescent="0.3">
      <c r="B20" s="18" t="s">
        <v>147</v>
      </c>
      <c r="C20" s="23"/>
      <c r="H20" s="112"/>
      <c r="I20" s="115"/>
      <c r="J20" s="113"/>
      <c r="K20" s="113"/>
      <c r="N20" s="84" t="s">
        <v>63</v>
      </c>
      <c r="O20" s="29">
        <f>SUMIF($J:$J,$L$9,$I:$I)</f>
        <v>45000</v>
      </c>
    </row>
    <row r="21" spans="2:15" ht="23.25" customHeight="1" x14ac:dyDescent="0.3">
      <c r="B21" s="18" t="s">
        <v>148</v>
      </c>
      <c r="C21" s="23">
        <v>7.1</v>
      </c>
      <c r="H21" s="112"/>
      <c r="I21" s="115"/>
      <c r="J21" s="113"/>
      <c r="K21" s="113"/>
      <c r="L21" s="3" t="s">
        <v>122</v>
      </c>
      <c r="N21" s="84" t="s">
        <v>110</v>
      </c>
      <c r="O21" s="29">
        <f>SUMIF($J:$J,$L$10,$I:$I)</f>
        <v>234000</v>
      </c>
    </row>
    <row r="22" spans="2:15" ht="23.25" customHeight="1" x14ac:dyDescent="0.3">
      <c r="H22" s="112"/>
      <c r="I22" s="115"/>
      <c r="J22" s="113"/>
      <c r="K22" s="113"/>
      <c r="L22" s="3" t="s">
        <v>123</v>
      </c>
      <c r="N22" s="84" t="s">
        <v>118</v>
      </c>
      <c r="O22" s="29">
        <f>SUMIFS($I:$I,$J:$J,$L$11,$K:$K,$L$21)</f>
        <v>71000</v>
      </c>
    </row>
    <row r="23" spans="2:15" ht="23.25" customHeight="1" x14ac:dyDescent="0.3">
      <c r="H23" s="112"/>
      <c r="I23" s="115"/>
      <c r="J23" s="113"/>
      <c r="K23" s="113"/>
      <c r="N23" s="83" t="s">
        <v>133</v>
      </c>
      <c r="O23" s="29">
        <f>SUM(O20:O22)</f>
        <v>350000</v>
      </c>
    </row>
    <row r="24" spans="2:15" ht="23.25" customHeight="1" x14ac:dyDescent="0.3">
      <c r="H24" s="112"/>
      <c r="I24" s="115"/>
      <c r="J24" s="113"/>
      <c r="K24" s="113"/>
      <c r="N24" s="83" t="s">
        <v>120</v>
      </c>
      <c r="O24" s="29">
        <f>SUMIFS($I:$I,$J:$J,$L$11,$K:$K,$L$22)</f>
        <v>200000</v>
      </c>
    </row>
    <row r="25" spans="2:15" ht="23.25" customHeight="1" x14ac:dyDescent="0.3">
      <c r="H25" s="112"/>
      <c r="I25" s="115"/>
      <c r="J25" s="113"/>
      <c r="K25" s="113"/>
      <c r="N25" s="86" t="s">
        <v>111</v>
      </c>
      <c r="O25" s="29">
        <f>SUM(O23:O24)</f>
        <v>550000</v>
      </c>
    </row>
    <row r="26" spans="2:15" ht="23.25" customHeight="1" x14ac:dyDescent="0.3">
      <c r="H26" s="112"/>
      <c r="I26" s="115"/>
      <c r="J26" s="113"/>
      <c r="K26" s="113"/>
      <c r="N26" s="45"/>
      <c r="O26" s="1"/>
    </row>
    <row r="27" spans="2:15" ht="23.25" customHeight="1" x14ac:dyDescent="0.3">
      <c r="H27" s="112"/>
      <c r="I27" s="115"/>
      <c r="J27" s="113"/>
      <c r="K27" s="113"/>
      <c r="N27" s="86" t="s">
        <v>112</v>
      </c>
      <c r="O27" s="29">
        <f>O16-O25</f>
        <v>80000</v>
      </c>
    </row>
    <row r="28" spans="2:15" ht="23.25" customHeight="1" x14ac:dyDescent="0.3">
      <c r="H28" s="112"/>
      <c r="I28" s="115"/>
      <c r="J28" s="113"/>
      <c r="K28" s="113"/>
      <c r="N28" s="87"/>
      <c r="O28" s="1"/>
    </row>
    <row r="29" spans="2:15" ht="23.25" customHeight="1" x14ac:dyDescent="0.3">
      <c r="H29" s="112"/>
      <c r="I29" s="115"/>
      <c r="J29" s="113"/>
      <c r="K29" s="113"/>
      <c r="N29" s="86" t="s">
        <v>23</v>
      </c>
      <c r="O29" s="29">
        <f>SUMIF($J:$J,$L$5,$I:$I)</f>
        <v>0</v>
      </c>
    </row>
    <row r="30" spans="2:15" ht="23.25" customHeight="1" x14ac:dyDescent="0.3">
      <c r="H30" s="112"/>
      <c r="I30" s="115"/>
      <c r="J30" s="113"/>
      <c r="K30" s="113"/>
      <c r="N30" s="86" t="s">
        <v>113</v>
      </c>
      <c r="O30" s="29">
        <f>SUMIF($J:$J,$L$12,$I:$I)</f>
        <v>0</v>
      </c>
    </row>
    <row r="31" spans="2:15" ht="23.25" customHeight="1" x14ac:dyDescent="0.3">
      <c r="H31" s="112"/>
      <c r="I31" s="115"/>
      <c r="J31" s="113"/>
      <c r="K31" s="113"/>
      <c r="N31" s="87"/>
      <c r="O31" s="1"/>
    </row>
    <row r="32" spans="2:15" ht="23.25" customHeight="1" x14ac:dyDescent="0.3">
      <c r="H32" s="112"/>
      <c r="I32" s="115"/>
      <c r="J32" s="113"/>
      <c r="K32" s="113"/>
      <c r="N32" s="95" t="s">
        <v>114</v>
      </c>
      <c r="O32" s="28">
        <f>O27+O29-O30</f>
        <v>80000</v>
      </c>
    </row>
    <row r="33" spans="6:17" ht="23.25" customHeight="1" x14ac:dyDescent="0.3">
      <c r="H33" s="112"/>
      <c r="I33" s="115"/>
      <c r="J33" s="113"/>
      <c r="K33" s="113"/>
      <c r="P33" s="76"/>
    </row>
    <row r="34" spans="6:17" ht="23.25" customHeight="1" x14ac:dyDescent="0.3">
      <c r="F34" s="120"/>
      <c r="H34" s="112"/>
      <c r="I34" s="115"/>
      <c r="J34" s="113"/>
      <c r="K34" s="113"/>
      <c r="N34" s="145" t="s">
        <v>165</v>
      </c>
      <c r="O34" s="146"/>
      <c r="P34" s="146"/>
      <c r="Q34" s="147"/>
    </row>
    <row r="35" spans="6:17" ht="23.25" customHeight="1" x14ac:dyDescent="0.3">
      <c r="H35" s="112"/>
      <c r="I35" s="115"/>
      <c r="J35" s="113"/>
      <c r="K35" s="113"/>
      <c r="N35" s="142" t="s">
        <v>160</v>
      </c>
      <c r="O35" s="143"/>
      <c r="P35" s="143"/>
      <c r="Q35" s="144"/>
    </row>
    <row r="36" spans="6:17" ht="23.25" customHeight="1" x14ac:dyDescent="0.3">
      <c r="H36" s="112"/>
      <c r="I36" s="115"/>
      <c r="J36" s="113"/>
      <c r="K36" s="113"/>
      <c r="N36" s="142" t="s">
        <v>161</v>
      </c>
      <c r="O36" s="143"/>
      <c r="P36" s="143"/>
      <c r="Q36" s="144"/>
    </row>
    <row r="37" spans="6:17" ht="23.25" customHeight="1" x14ac:dyDescent="0.3">
      <c r="H37" s="112"/>
      <c r="I37" s="115"/>
      <c r="J37" s="113"/>
      <c r="K37" s="113"/>
      <c r="N37" s="142" t="s">
        <v>162</v>
      </c>
      <c r="O37" s="143"/>
      <c r="P37" s="143"/>
      <c r="Q37" s="144"/>
    </row>
    <row r="38" spans="6:17" ht="23.25" customHeight="1" x14ac:dyDescent="0.3">
      <c r="H38" s="112"/>
      <c r="I38" s="115"/>
      <c r="J38" s="113"/>
      <c r="K38" s="113"/>
      <c r="N38" s="142" t="s">
        <v>163</v>
      </c>
      <c r="O38" s="143"/>
      <c r="P38" s="143"/>
      <c r="Q38" s="144"/>
    </row>
    <row r="39" spans="6:17" ht="23.25" customHeight="1" x14ac:dyDescent="0.3">
      <c r="H39" s="112"/>
      <c r="I39" s="115"/>
      <c r="J39" s="113"/>
      <c r="K39" s="113"/>
      <c r="N39" s="142" t="s">
        <v>164</v>
      </c>
      <c r="O39" s="143"/>
      <c r="P39" s="143"/>
      <c r="Q39" s="144"/>
    </row>
    <row r="40" spans="6:17" ht="23.25" customHeight="1" x14ac:dyDescent="0.3">
      <c r="H40" s="112"/>
      <c r="I40" s="115"/>
      <c r="J40" s="113"/>
      <c r="K40" s="113"/>
      <c r="N40" s="142" t="s">
        <v>178</v>
      </c>
      <c r="O40" s="143"/>
      <c r="P40" s="143"/>
      <c r="Q40" s="144"/>
    </row>
    <row r="41" spans="6:17" ht="23.25" customHeight="1" x14ac:dyDescent="0.3">
      <c r="H41" s="114"/>
      <c r="I41" s="115"/>
      <c r="J41" s="113"/>
      <c r="K41" s="113"/>
      <c r="N41" s="211" t="s">
        <v>179</v>
      </c>
      <c r="O41" s="212"/>
      <c r="P41" s="212"/>
      <c r="Q41" s="213"/>
    </row>
    <row r="42" spans="6:17" ht="23.25" customHeight="1" x14ac:dyDescent="0.3">
      <c r="H42" s="112"/>
      <c r="I42" s="115"/>
      <c r="J42" s="113"/>
      <c r="K42" s="113"/>
    </row>
    <row r="43" spans="6:17" ht="23.25" customHeight="1" x14ac:dyDescent="0.3">
      <c r="H43" s="112"/>
      <c r="I43" s="115"/>
      <c r="J43" s="113"/>
      <c r="K43" s="113"/>
    </row>
    <row r="44" spans="6:17" ht="23.25" customHeight="1" x14ac:dyDescent="0.3">
      <c r="H44" s="112"/>
      <c r="I44" s="115"/>
      <c r="J44" s="113"/>
      <c r="K44" s="113"/>
    </row>
    <row r="45" spans="6:17" ht="23.25" customHeight="1" x14ac:dyDescent="0.3">
      <c r="H45" s="112"/>
      <c r="I45" s="115"/>
      <c r="J45" s="113"/>
      <c r="K45" s="113"/>
    </row>
    <row r="46" spans="6:17" ht="23.25" customHeight="1" x14ac:dyDescent="0.3">
      <c r="H46" s="112"/>
      <c r="I46" s="115"/>
      <c r="J46" s="113"/>
      <c r="K46" s="113"/>
    </row>
    <row r="47" spans="6:17" ht="23.25" customHeight="1" x14ac:dyDescent="0.3">
      <c r="H47" s="112"/>
      <c r="I47" s="115"/>
      <c r="J47" s="113"/>
      <c r="K47" s="113"/>
    </row>
    <row r="48" spans="6:17" ht="23.25" customHeight="1" x14ac:dyDescent="0.3">
      <c r="H48" s="112"/>
      <c r="I48" s="115"/>
      <c r="J48" s="113"/>
      <c r="K48" s="113"/>
    </row>
    <row r="49" spans="8:11" ht="23.25" customHeight="1" x14ac:dyDescent="0.3">
      <c r="H49" s="114"/>
      <c r="I49" s="115"/>
      <c r="J49" s="113"/>
      <c r="K49" s="113"/>
    </row>
    <row r="50" spans="8:11" ht="23.25" customHeight="1" x14ac:dyDescent="0.3">
      <c r="H50" s="112"/>
      <c r="I50" s="115"/>
      <c r="J50" s="113"/>
      <c r="K50" s="113"/>
    </row>
    <row r="51" spans="8:11" ht="23.25" customHeight="1" x14ac:dyDescent="0.3">
      <c r="H51" s="112"/>
      <c r="I51" s="115"/>
      <c r="J51" s="113"/>
      <c r="K51" s="113"/>
    </row>
    <row r="52" spans="8:11" ht="23.25" customHeight="1" x14ac:dyDescent="0.3">
      <c r="H52" s="112"/>
      <c r="I52" s="115"/>
      <c r="J52" s="113"/>
      <c r="K52" s="113"/>
    </row>
    <row r="53" spans="8:11" ht="23.25" customHeight="1" x14ac:dyDescent="0.3">
      <c r="H53" s="112"/>
      <c r="I53" s="115"/>
      <c r="J53" s="113"/>
      <c r="K53" s="113"/>
    </row>
    <row r="54" spans="8:11" ht="23.25" customHeight="1" x14ac:dyDescent="0.3">
      <c r="H54" s="112"/>
      <c r="I54" s="115"/>
      <c r="J54" s="113"/>
      <c r="K54" s="113"/>
    </row>
    <row r="55" spans="8:11" ht="23.25" customHeight="1" x14ac:dyDescent="0.3">
      <c r="H55" s="112"/>
      <c r="I55" s="115"/>
      <c r="J55" s="113"/>
      <c r="K55" s="113"/>
    </row>
    <row r="56" spans="8:11" ht="23.25" customHeight="1" x14ac:dyDescent="0.3">
      <c r="H56" s="112"/>
      <c r="I56" s="115"/>
      <c r="J56" s="113"/>
      <c r="K56" s="113"/>
    </row>
    <row r="57" spans="8:11" ht="23.25" customHeight="1" x14ac:dyDescent="0.3">
      <c r="H57" s="112"/>
      <c r="I57" s="115"/>
      <c r="J57" s="113"/>
      <c r="K57" s="113"/>
    </row>
    <row r="58" spans="8:11" ht="23.25" customHeight="1" x14ac:dyDescent="0.3">
      <c r="H58" s="112"/>
      <c r="I58" s="115"/>
      <c r="J58" s="113"/>
      <c r="K58" s="113"/>
    </row>
    <row r="59" spans="8:11" ht="23.25" customHeight="1" x14ac:dyDescent="0.3">
      <c r="H59" s="114"/>
      <c r="I59" s="117"/>
      <c r="J59" s="113"/>
      <c r="K59" s="113"/>
    </row>
    <row r="60" spans="8:11" ht="23.25" customHeight="1" x14ac:dyDescent="0.3">
      <c r="H60" s="116"/>
      <c r="I60" s="117"/>
      <c r="J60" s="113"/>
      <c r="K60" s="113"/>
    </row>
    <row r="61" spans="8:11" ht="23.25" customHeight="1" x14ac:dyDescent="0.3">
      <c r="H61" s="116"/>
      <c r="I61" s="117"/>
      <c r="J61" s="113"/>
      <c r="K61" s="113"/>
    </row>
    <row r="62" spans="8:11" ht="23.25" customHeight="1" x14ac:dyDescent="0.3">
      <c r="H62" s="116"/>
      <c r="I62" s="117"/>
      <c r="J62" s="113"/>
      <c r="K62" s="113"/>
    </row>
    <row r="63" spans="8:11" ht="23.25" customHeight="1" x14ac:dyDescent="0.3">
      <c r="H63" s="116"/>
      <c r="I63" s="117"/>
      <c r="J63" s="113"/>
      <c r="K63" s="113"/>
    </row>
    <row r="64" spans="8:11" ht="23.25" customHeight="1" x14ac:dyDescent="0.3">
      <c r="H64" s="116"/>
      <c r="I64" s="117"/>
      <c r="J64" s="113"/>
      <c r="K64" s="113"/>
    </row>
    <row r="65" spans="8:11" ht="23.25" customHeight="1" x14ac:dyDescent="0.3">
      <c r="H65" s="116"/>
      <c r="I65" s="117"/>
      <c r="J65" s="113"/>
      <c r="K65" s="113"/>
    </row>
    <row r="66" spans="8:11" ht="23.25" customHeight="1" x14ac:dyDescent="0.3">
      <c r="H66" s="116"/>
      <c r="I66" s="117"/>
      <c r="J66" s="113"/>
      <c r="K66" s="113"/>
    </row>
    <row r="67" spans="8:11" ht="23.25" customHeight="1" x14ac:dyDescent="0.3">
      <c r="H67" s="116"/>
      <c r="I67" s="117"/>
      <c r="J67" s="113"/>
      <c r="K67" s="113"/>
    </row>
    <row r="68" spans="8:11" ht="23.25" customHeight="1" x14ac:dyDescent="0.3">
      <c r="H68" s="116"/>
      <c r="I68" s="117"/>
      <c r="J68" s="113"/>
      <c r="K68" s="113"/>
    </row>
    <row r="69" spans="8:11" ht="23.25" customHeight="1" x14ac:dyDescent="0.3">
      <c r="H69" s="116"/>
      <c r="I69" s="117"/>
      <c r="J69" s="113"/>
      <c r="K69" s="113"/>
    </row>
    <row r="70" spans="8:11" ht="23.25" customHeight="1" x14ac:dyDescent="0.3">
      <c r="H70" s="112"/>
      <c r="I70" s="115"/>
      <c r="J70" s="113"/>
      <c r="K70" s="113"/>
    </row>
    <row r="71" spans="8:11" ht="23.25" customHeight="1" x14ac:dyDescent="0.3">
      <c r="J71" s="3"/>
      <c r="K71" s="3"/>
    </row>
    <row r="80" spans="8:11" ht="23.25" customHeight="1" x14ac:dyDescent="0.3">
      <c r="J80" s="3"/>
      <c r="K80" s="3"/>
    </row>
    <row r="81" spans="10:11" ht="23.25" customHeight="1" x14ac:dyDescent="0.3">
      <c r="J81" s="3"/>
      <c r="K81" s="3"/>
    </row>
    <row r="82" spans="10:11" ht="23.25" customHeight="1" x14ac:dyDescent="0.3">
      <c r="J82" s="3"/>
      <c r="K82" s="3"/>
    </row>
    <row r="83" spans="10:11" ht="23.25" customHeight="1" x14ac:dyDescent="0.3">
      <c r="J83" s="3"/>
      <c r="K83" s="3"/>
    </row>
    <row r="84" spans="10:11" ht="23.25" customHeight="1" x14ac:dyDescent="0.3">
      <c r="J84" s="3"/>
      <c r="K84" s="3"/>
    </row>
    <row r="85" spans="10:11" ht="23.25" customHeight="1" x14ac:dyDescent="0.3">
      <c r="J85" s="3"/>
      <c r="K85" s="3"/>
    </row>
    <row r="86" spans="10:11" ht="23.25" customHeight="1" x14ac:dyDescent="0.3">
      <c r="J86" s="3"/>
      <c r="K86" s="3"/>
    </row>
    <row r="87" spans="10:11" ht="23.25" customHeight="1" x14ac:dyDescent="0.3">
      <c r="J87" s="3"/>
      <c r="K87" s="3"/>
    </row>
    <row r="88" spans="10:11" ht="23.25" customHeight="1" x14ac:dyDescent="0.3">
      <c r="J88" s="3"/>
      <c r="K88" s="3"/>
    </row>
    <row r="89" spans="10:11" ht="23.25" customHeight="1" x14ac:dyDescent="0.3">
      <c r="J89" s="3"/>
      <c r="K89" s="3"/>
    </row>
    <row r="90" spans="10:11" ht="23.25" customHeight="1" x14ac:dyDescent="0.3">
      <c r="J90" s="3"/>
      <c r="K90" s="3"/>
    </row>
    <row r="91" spans="10:11" ht="23.25" customHeight="1" x14ac:dyDescent="0.3">
      <c r="J91" s="3"/>
      <c r="K91" s="3"/>
    </row>
    <row r="92" spans="10:11" ht="23.25" customHeight="1" x14ac:dyDescent="0.3">
      <c r="J92" s="3"/>
      <c r="K92" s="3"/>
    </row>
    <row r="93" spans="10:11" ht="23.25" customHeight="1" x14ac:dyDescent="0.3">
      <c r="J93" s="3"/>
      <c r="K93" s="3"/>
    </row>
    <row r="94" spans="10:11" ht="23.25" customHeight="1" x14ac:dyDescent="0.3">
      <c r="J94" s="3"/>
      <c r="K94" s="3"/>
    </row>
    <row r="95" spans="10:11" ht="23.25" customHeight="1" x14ac:dyDescent="0.3">
      <c r="J95" s="3"/>
      <c r="K95" s="3"/>
    </row>
    <row r="96" spans="10:11" ht="23.25" customHeight="1" x14ac:dyDescent="0.3">
      <c r="J96" s="3"/>
      <c r="K96" s="3"/>
    </row>
    <row r="97" spans="10:11" ht="23.25" customHeight="1" x14ac:dyDescent="0.3">
      <c r="J97" s="3"/>
      <c r="K97" s="3"/>
    </row>
    <row r="98" spans="10:11" ht="23.25" customHeight="1" x14ac:dyDescent="0.3">
      <c r="J98" s="3"/>
      <c r="K98" s="3"/>
    </row>
    <row r="99" spans="10:11" ht="23.25" customHeight="1" x14ac:dyDescent="0.3">
      <c r="J99" s="3"/>
      <c r="K99" s="3"/>
    </row>
    <row r="100" spans="10:11" ht="23.25" customHeight="1" x14ac:dyDescent="0.3">
      <c r="J100" s="3"/>
      <c r="K100" s="3"/>
    </row>
    <row r="101" spans="10:11" ht="23.25" customHeight="1" x14ac:dyDescent="0.3">
      <c r="J101" s="3"/>
      <c r="K101" s="3"/>
    </row>
    <row r="102" spans="10:11" ht="23.25" customHeight="1" x14ac:dyDescent="0.3">
      <c r="J102" s="3"/>
      <c r="K102" s="3"/>
    </row>
    <row r="103" spans="10:11" ht="23.25" customHeight="1" x14ac:dyDescent="0.3">
      <c r="J103" s="3"/>
      <c r="K103" s="3"/>
    </row>
    <row r="104" spans="10:11" ht="23.25" customHeight="1" x14ac:dyDescent="0.3">
      <c r="J104" s="3"/>
      <c r="K104" s="3"/>
    </row>
    <row r="105" spans="10:11" ht="23.25" customHeight="1" x14ac:dyDescent="0.3">
      <c r="J105" s="3"/>
      <c r="K105" s="3"/>
    </row>
    <row r="106" spans="10:11" ht="23.25" customHeight="1" x14ac:dyDescent="0.3">
      <c r="J106" s="3"/>
      <c r="K106" s="3"/>
    </row>
    <row r="107" spans="10:11" ht="23.25" customHeight="1" x14ac:dyDescent="0.3">
      <c r="J107" s="3"/>
      <c r="K107" s="3"/>
    </row>
    <row r="108" spans="10:11" ht="23.25" customHeight="1" x14ac:dyDescent="0.3">
      <c r="J108" s="3"/>
      <c r="K108" s="3"/>
    </row>
    <row r="109" spans="10:11" ht="23.25" customHeight="1" x14ac:dyDescent="0.3">
      <c r="J109" s="3"/>
      <c r="K109" s="3"/>
    </row>
    <row r="110" spans="10:11" ht="23.25" customHeight="1" x14ac:dyDescent="0.3">
      <c r="J110" s="3"/>
      <c r="K110" s="3"/>
    </row>
    <row r="111" spans="10:11" ht="23.25" customHeight="1" x14ac:dyDescent="0.3">
      <c r="J111" s="3"/>
      <c r="K111" s="3"/>
    </row>
    <row r="112" spans="10:11" ht="23.25" customHeight="1" x14ac:dyDescent="0.3">
      <c r="J112" s="3"/>
      <c r="K112" s="3"/>
    </row>
    <row r="113" spans="10:11" ht="23.25" customHeight="1" x14ac:dyDescent="0.3">
      <c r="J113" s="3"/>
      <c r="K113" s="3"/>
    </row>
    <row r="114" spans="10:11" ht="23.25" customHeight="1" x14ac:dyDescent="0.3">
      <c r="J114" s="3"/>
      <c r="K114" s="3"/>
    </row>
    <row r="115" spans="10:11" ht="23.25" customHeight="1" x14ac:dyDescent="0.3">
      <c r="J115" s="3"/>
      <c r="K115" s="3"/>
    </row>
    <row r="116" spans="10:11" ht="23.25" customHeight="1" x14ac:dyDescent="0.3">
      <c r="J116" s="3"/>
      <c r="K116" s="3"/>
    </row>
    <row r="117" spans="10:11" ht="23.25" customHeight="1" x14ac:dyDescent="0.3">
      <c r="J117" s="3"/>
      <c r="K117" s="3"/>
    </row>
    <row r="118" spans="10:11" ht="23.25" customHeight="1" x14ac:dyDescent="0.3">
      <c r="J118" s="3"/>
      <c r="K118" s="3"/>
    </row>
    <row r="119" spans="10:11" ht="23.25" customHeight="1" x14ac:dyDescent="0.3">
      <c r="J119" s="3"/>
      <c r="K119" s="3"/>
    </row>
    <row r="120" spans="10:11" ht="23.25" customHeight="1" x14ac:dyDescent="0.3">
      <c r="J120" s="3"/>
      <c r="K120" s="3"/>
    </row>
    <row r="121" spans="10:11" ht="23.25" customHeight="1" x14ac:dyDescent="0.3">
      <c r="J121" s="3"/>
      <c r="K121" s="3"/>
    </row>
    <row r="122" spans="10:11" ht="23.25" customHeight="1" x14ac:dyDescent="0.3">
      <c r="J122" s="3"/>
      <c r="K122" s="3"/>
    </row>
    <row r="123" spans="10:11" ht="23.25" customHeight="1" x14ac:dyDescent="0.3">
      <c r="J123" s="3"/>
      <c r="K123" s="3"/>
    </row>
    <row r="124" spans="10:11" ht="23.25" customHeight="1" x14ac:dyDescent="0.3">
      <c r="J124" s="3"/>
      <c r="K124" s="3"/>
    </row>
    <row r="125" spans="10:11" ht="23.25" customHeight="1" x14ac:dyDescent="0.3">
      <c r="J125" s="3"/>
      <c r="K125" s="3"/>
    </row>
    <row r="126" spans="10:11" ht="23.25" customHeight="1" x14ac:dyDescent="0.3">
      <c r="J126" s="3"/>
      <c r="K126" s="3"/>
    </row>
    <row r="127" spans="10:11" ht="23.25" customHeight="1" x14ac:dyDescent="0.3">
      <c r="J127" s="3"/>
      <c r="K127" s="3"/>
    </row>
    <row r="128" spans="10:11" ht="23.25" customHeight="1" x14ac:dyDescent="0.3">
      <c r="J128" s="3"/>
      <c r="K128" s="3"/>
    </row>
    <row r="129" spans="10:11" ht="23.25" customHeight="1" x14ac:dyDescent="0.3">
      <c r="J129" s="3"/>
      <c r="K129" s="3"/>
    </row>
    <row r="130" spans="10:11" ht="23.25" customHeight="1" x14ac:dyDescent="0.3">
      <c r="J130" s="3"/>
      <c r="K130" s="3"/>
    </row>
    <row r="131" spans="10:11" ht="23.25" customHeight="1" x14ac:dyDescent="0.3">
      <c r="J131" s="3"/>
      <c r="K131" s="3"/>
    </row>
    <row r="132" spans="10:11" ht="23.25" customHeight="1" x14ac:dyDescent="0.3">
      <c r="J132" s="3"/>
      <c r="K132" s="3"/>
    </row>
    <row r="133" spans="10:11" ht="23.25" customHeight="1" x14ac:dyDescent="0.3">
      <c r="J133" s="3"/>
      <c r="K133" s="3"/>
    </row>
    <row r="134" spans="10:11" ht="23.25" customHeight="1" x14ac:dyDescent="0.3">
      <c r="J134" s="3"/>
      <c r="K134" s="3"/>
    </row>
    <row r="135" spans="10:11" ht="23.25" customHeight="1" x14ac:dyDescent="0.3">
      <c r="J135" s="3"/>
      <c r="K135" s="3"/>
    </row>
    <row r="136" spans="10:11" ht="23.25" customHeight="1" x14ac:dyDescent="0.3">
      <c r="J136" s="3"/>
      <c r="K136" s="3"/>
    </row>
    <row r="137" spans="10:11" ht="23.25" customHeight="1" x14ac:dyDescent="0.3">
      <c r="J137" s="3"/>
      <c r="K137" s="3"/>
    </row>
    <row r="138" spans="10:11" ht="23.25" customHeight="1" x14ac:dyDescent="0.3">
      <c r="J138" s="3"/>
      <c r="K138" s="3"/>
    </row>
    <row r="139" spans="10:11" ht="23.25" customHeight="1" x14ac:dyDescent="0.3">
      <c r="J139" s="3"/>
      <c r="K139" s="3"/>
    </row>
    <row r="140" spans="10:11" ht="23.25" customHeight="1" x14ac:dyDescent="0.3">
      <c r="J140" s="3"/>
      <c r="K140" s="3"/>
    </row>
    <row r="141" spans="10:11" ht="23.25" customHeight="1" x14ac:dyDescent="0.3">
      <c r="J141" s="3"/>
      <c r="K141" s="3"/>
    </row>
    <row r="142" spans="10:11" ht="23.25" customHeight="1" x14ac:dyDescent="0.3">
      <c r="J142" s="3"/>
      <c r="K142" s="3"/>
    </row>
    <row r="143" spans="10:11" ht="23.25" customHeight="1" x14ac:dyDescent="0.3">
      <c r="J143" s="3"/>
      <c r="K143" s="3"/>
    </row>
    <row r="144" spans="10:11" ht="23.25" customHeight="1" x14ac:dyDescent="0.3">
      <c r="J144" s="3"/>
      <c r="K144" s="3"/>
    </row>
    <row r="145" spans="10:11" ht="23.25" customHeight="1" x14ac:dyDescent="0.3">
      <c r="J145" s="3"/>
      <c r="K145" s="3"/>
    </row>
    <row r="146" spans="10:11" ht="23.25" customHeight="1" x14ac:dyDescent="0.3">
      <c r="J146" s="3"/>
      <c r="K146" s="3"/>
    </row>
    <row r="147" spans="10:11" ht="23.25" customHeight="1" x14ac:dyDescent="0.3">
      <c r="J147" s="3"/>
      <c r="K147" s="3"/>
    </row>
    <row r="148" spans="10:11" ht="23.25" customHeight="1" x14ac:dyDescent="0.3">
      <c r="J148" s="3"/>
      <c r="K148" s="3"/>
    </row>
    <row r="149" spans="10:11" ht="23.25" customHeight="1" x14ac:dyDescent="0.3">
      <c r="J149" s="3"/>
      <c r="K149" s="3"/>
    </row>
    <row r="150" spans="10:11" ht="23.25" customHeight="1" x14ac:dyDescent="0.3">
      <c r="J150" s="3"/>
      <c r="K150" s="3"/>
    </row>
    <row r="151" spans="10:11" ht="23.25" customHeight="1" x14ac:dyDescent="0.3">
      <c r="J151" s="3"/>
      <c r="K151" s="3"/>
    </row>
    <row r="152" spans="10:11" ht="23.25" customHeight="1" x14ac:dyDescent="0.3">
      <c r="J152" s="3"/>
      <c r="K152" s="3"/>
    </row>
    <row r="153" spans="10:11" ht="23.25" customHeight="1" x14ac:dyDescent="0.3">
      <c r="J153" s="3"/>
      <c r="K153" s="3"/>
    </row>
    <row r="154" spans="10:11" ht="23.25" customHeight="1" x14ac:dyDescent="0.3">
      <c r="J154" s="3"/>
      <c r="K154" s="3"/>
    </row>
    <row r="155" spans="10:11" ht="23.25" customHeight="1" x14ac:dyDescent="0.3">
      <c r="J155" s="3"/>
      <c r="K155" s="3"/>
    </row>
    <row r="156" spans="10:11" ht="23.25" customHeight="1" x14ac:dyDescent="0.3">
      <c r="J156" s="3"/>
      <c r="K156" s="3"/>
    </row>
    <row r="157" spans="10:11" ht="23.25" customHeight="1" x14ac:dyDescent="0.3">
      <c r="J157" s="3"/>
      <c r="K157" s="3"/>
    </row>
    <row r="158" spans="10:11" ht="23.25" customHeight="1" x14ac:dyDescent="0.3">
      <c r="J158" s="3"/>
      <c r="K158" s="3"/>
    </row>
  </sheetData>
  <sheetProtection selectLockedCells="1"/>
  <mergeCells count="7">
    <mergeCell ref="N41:Q41"/>
    <mergeCell ref="H3:K3"/>
    <mergeCell ref="H2:K2"/>
    <mergeCell ref="B9:C9"/>
    <mergeCell ref="B2:C2"/>
    <mergeCell ref="E4:F4"/>
    <mergeCell ref="E9:F9"/>
  </mergeCells>
  <dataValidations count="4">
    <dataValidation type="list" allowBlank="1" showInputMessage="1" showErrorMessage="1" sqref="J159:J1048576 J6:J70" xr:uid="{00000000-0002-0000-0200-000000000000}">
      <formula1>PLTYPE</formula1>
    </dataValidation>
    <dataValidation type="list" allowBlank="1" showInputMessage="1" showErrorMessage="1" sqref="K159:K1048576 K6:K70" xr:uid="{00000000-0002-0000-0200-000001000000}">
      <formula1>PLACTIVITY</formula1>
    </dataValidation>
    <dataValidation type="whole" operator="lessThan" allowBlank="1" showInputMessage="1" showErrorMessage="1" sqref="C16" xr:uid="{00000000-0002-0000-0200-000003000000}">
      <formula1>10</formula1>
    </dataValidation>
    <dataValidation type="whole" errorStyle="warning" operator="greaterThan" allowBlank="1" showInputMessage="1" showErrorMessage="1" errorTitle="Input error" error="The number in this box should be a number of minutes. _x000a__x000a_If you have entered minutes press Yes, otherwise press No and enter a value in minutes" sqref="C10:C11" xr:uid="{F1ABD25C-751E-459F-9FE6-D27B8586BFEA}">
      <formula1>2</formula1>
    </dataValidation>
  </dataValidations>
  <hyperlinks>
    <hyperlink ref="H3" location="'Master Data'!H60" display="Click here for instructions on how to enter this information" xr:uid="{00000000-0004-0000-0200-000000000000}"/>
    <hyperlink ref="H3:K3" location="'Master Data'!N41" display="Click here for instructions on how to enter this information" xr:uid="{00000000-0004-0000-0200-000001000000}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044E9-900B-4B69-8883-6A500E12E853}">
  <sheetPr>
    <tabColor theme="7"/>
  </sheetPr>
  <dimension ref="A1:AB74"/>
  <sheetViews>
    <sheetView zoomScale="99" zoomScaleNormal="99" workbookViewId="0">
      <selection activeCell="C24" sqref="C24"/>
    </sheetView>
  </sheetViews>
  <sheetFormatPr defaultColWidth="9.109375" defaultRowHeight="21" customHeight="1" x14ac:dyDescent="0.3"/>
  <cols>
    <col min="1" max="1" width="9.109375" style="3"/>
    <col min="2" max="2" width="55.44140625" style="42" bestFit="1" customWidth="1"/>
    <col min="3" max="3" width="14.44140625" style="5" bestFit="1" customWidth="1"/>
    <col min="4" max="4" width="14.6640625" style="3" bestFit="1" customWidth="1"/>
    <col min="5" max="5" width="12.6640625" style="3" bestFit="1" customWidth="1"/>
    <col min="6" max="6" width="53.21875" style="150" customWidth="1"/>
    <col min="7" max="7" width="12.21875" style="5" customWidth="1"/>
    <col min="8" max="8" width="12.21875" style="3" customWidth="1"/>
    <col min="9" max="9" width="7.33203125" style="5" bestFit="1" customWidth="1"/>
    <col min="10" max="10" width="37.44140625" style="3" customWidth="1"/>
    <col min="11" max="11" width="10.5546875" style="5" bestFit="1" customWidth="1"/>
    <col min="12" max="13" width="9.109375" style="3"/>
    <col min="14" max="14" width="28.77734375" style="3" bestFit="1" customWidth="1"/>
    <col min="15" max="16384" width="9.109375" style="3"/>
  </cols>
  <sheetData>
    <row r="1" spans="1:28" s="2" customFormat="1" ht="21" customHeight="1" x14ac:dyDescent="0.3">
      <c r="A1" s="33"/>
      <c r="B1" s="42"/>
      <c r="C1" s="5"/>
      <c r="D1" s="3"/>
      <c r="E1" s="5"/>
      <c r="F1" s="3"/>
      <c r="G1" s="5"/>
      <c r="H1" s="5"/>
      <c r="I1" s="5"/>
      <c r="J1" s="5"/>
      <c r="K1" s="5"/>
      <c r="L1" s="5"/>
      <c r="M1" s="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2" customFormat="1" ht="21" customHeight="1" x14ac:dyDescent="0.3">
      <c r="A2" s="33"/>
      <c r="B2" s="225" t="s">
        <v>325</v>
      </c>
      <c r="C2" s="225"/>
      <c r="D2" s="3"/>
      <c r="E2" s="5"/>
      <c r="F2" s="3"/>
      <c r="G2" s="5"/>
      <c r="H2" s="5"/>
      <c r="I2" s="5"/>
      <c r="J2" s="3"/>
      <c r="K2" s="5"/>
      <c r="L2" s="3"/>
      <c r="M2" s="5"/>
      <c r="N2" s="5"/>
      <c r="O2" s="5"/>
      <c r="P2" s="5"/>
      <c r="Q2" s="5"/>
      <c r="R2" s="5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2" customFormat="1" ht="21" customHeight="1" x14ac:dyDescent="0.3">
      <c r="A3" s="33"/>
      <c r="B3" s="152" t="s">
        <v>384</v>
      </c>
      <c r="C3" s="91" t="s">
        <v>203</v>
      </c>
      <c r="D3" s="3"/>
      <c r="E3" s="5"/>
      <c r="F3" s="3"/>
      <c r="G3" s="5"/>
      <c r="H3" s="5"/>
      <c r="I3" s="5"/>
      <c r="J3" s="3"/>
      <c r="K3" s="5"/>
      <c r="L3" s="3"/>
      <c r="M3" s="5"/>
      <c r="N3" s="5"/>
      <c r="O3" s="5"/>
      <c r="P3" s="5"/>
      <c r="Q3" s="5"/>
      <c r="R3" s="5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s="2" customFormat="1" ht="21" customHeight="1" x14ac:dyDescent="0.3">
      <c r="A4" s="33"/>
      <c r="B4" s="152" t="s">
        <v>383</v>
      </c>
      <c r="C4" s="91" t="s">
        <v>355</v>
      </c>
      <c r="D4" s="3"/>
      <c r="E4" s="5"/>
      <c r="F4" s="3"/>
      <c r="G4" s="5"/>
      <c r="H4" s="5"/>
      <c r="I4" s="5"/>
      <c r="J4" s="3"/>
      <c r="K4" s="5"/>
      <c r="L4" s="3"/>
      <c r="M4" s="5"/>
      <c r="N4" s="5"/>
      <c r="O4" s="5"/>
      <c r="P4" s="5"/>
      <c r="Q4" s="5"/>
      <c r="R4" s="5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2" customFormat="1" ht="21" customHeight="1" x14ac:dyDescent="0.3">
      <c r="A5" s="3"/>
      <c r="B5" s="3"/>
      <c r="C5" s="3"/>
      <c r="D5" s="3"/>
      <c r="E5" s="5"/>
      <c r="F5" s="3"/>
      <c r="G5" s="5"/>
      <c r="H5" s="5"/>
      <c r="I5" s="5"/>
      <c r="J5" s="3"/>
      <c r="K5" s="5"/>
      <c r="L5" s="3"/>
      <c r="M5" s="5"/>
      <c r="N5" s="5"/>
      <c r="O5" s="5"/>
      <c r="P5" s="5"/>
      <c r="Q5" s="5"/>
      <c r="R5" s="5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2" customFormat="1" ht="21" customHeight="1" x14ac:dyDescent="0.3">
      <c r="A6" s="33"/>
      <c r="B6" s="152" t="s">
        <v>341</v>
      </c>
      <c r="C6" s="46">
        <v>43891</v>
      </c>
      <c r="D6" s="3"/>
      <c r="E6" s="5"/>
      <c r="F6" s="3"/>
      <c r="G6" s="5"/>
      <c r="H6" s="5"/>
      <c r="I6" s="5"/>
      <c r="J6" s="3"/>
      <c r="K6" s="5"/>
      <c r="L6" s="3"/>
      <c r="M6" s="5"/>
      <c r="N6" s="5"/>
      <c r="O6" s="5"/>
      <c r="P6" s="5"/>
      <c r="Q6" s="5"/>
      <c r="R6" s="5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2" customFormat="1" ht="21" customHeight="1" x14ac:dyDescent="0.3">
      <c r="A7" s="33"/>
      <c r="B7" s="152" t="s">
        <v>323</v>
      </c>
      <c r="C7" s="23">
        <v>3</v>
      </c>
      <c r="D7" s="3"/>
      <c r="E7" s="5"/>
      <c r="F7" s="3"/>
      <c r="G7" s="5"/>
      <c r="H7" s="5"/>
      <c r="I7" s="5"/>
      <c r="J7" s="3"/>
      <c r="K7" s="5"/>
      <c r="L7" s="3"/>
      <c r="M7" s="5"/>
      <c r="N7" s="5"/>
      <c r="O7" s="5"/>
      <c r="P7" s="5"/>
      <c r="Q7" s="5"/>
      <c r="R7" s="5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2" customFormat="1" ht="21" customHeight="1" x14ac:dyDescent="0.3">
      <c r="A8" s="33"/>
      <c r="B8" s="152" t="s">
        <v>321</v>
      </c>
      <c r="C8" s="24">
        <v>0.4</v>
      </c>
      <c r="D8" s="33"/>
      <c r="E8" s="5"/>
      <c r="F8" s="3"/>
      <c r="G8" s="5"/>
      <c r="H8" s="5"/>
      <c r="I8" s="5"/>
      <c r="J8" s="3"/>
      <c r="K8" s="5"/>
      <c r="L8" s="3"/>
      <c r="M8" s="5"/>
      <c r="N8" s="5"/>
      <c r="O8" s="5"/>
      <c r="P8" s="5"/>
      <c r="Q8" s="5"/>
      <c r="R8" s="5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s="2" customFormat="1" ht="21" customHeight="1" x14ac:dyDescent="0.3">
      <c r="A9" s="33"/>
      <c r="B9" s="152" t="s">
        <v>340</v>
      </c>
      <c r="C9" s="48">
        <f>EOMONTH(C6,C7-1)+1</f>
        <v>43983</v>
      </c>
      <c r="D9" s="33"/>
      <c r="E9" s="5"/>
      <c r="F9" s="3"/>
      <c r="G9" s="5"/>
      <c r="H9" s="5"/>
      <c r="I9" s="5"/>
      <c r="J9" s="3"/>
      <c r="K9" s="5"/>
      <c r="L9" s="3"/>
      <c r="M9" s="5"/>
      <c r="N9" s="5"/>
      <c r="O9" s="5"/>
      <c r="P9" s="5"/>
      <c r="Q9" s="5"/>
      <c r="R9" s="5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2" customFormat="1" ht="21" customHeight="1" x14ac:dyDescent="0.3">
      <c r="A10" s="33"/>
      <c r="B10" s="152" t="s">
        <v>324</v>
      </c>
      <c r="C10" s="23">
        <v>6</v>
      </c>
      <c r="D10" s="3"/>
      <c r="E10" s="5"/>
      <c r="F10" s="3"/>
      <c r="G10" s="5"/>
      <c r="H10" s="5"/>
      <c r="I10" s="5"/>
      <c r="J10" s="3"/>
      <c r="K10" s="5"/>
      <c r="L10" s="3"/>
      <c r="M10" s="5"/>
      <c r="N10" s="5"/>
      <c r="O10" s="5"/>
      <c r="P10" s="5"/>
      <c r="Q10" s="5"/>
      <c r="R10" s="5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s="2" customFormat="1" ht="21" customHeight="1" x14ac:dyDescent="0.3">
      <c r="A11" s="33"/>
      <c r="B11" s="152" t="s">
        <v>322</v>
      </c>
      <c r="C11" s="24">
        <v>0.05</v>
      </c>
      <c r="D11" s="3"/>
      <c r="E11" s="5"/>
      <c r="F11" s="3"/>
      <c r="G11" s="5"/>
      <c r="H11" s="5"/>
      <c r="I11" s="5"/>
      <c r="J11" s="3"/>
      <c r="K11" s="5"/>
      <c r="L11" s="3"/>
      <c r="M11" s="5"/>
      <c r="N11" s="5"/>
      <c r="O11" s="5"/>
      <c r="P11" s="5"/>
      <c r="Q11" s="5"/>
      <c r="R11" s="5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s="2" customFormat="1" ht="21" customHeight="1" x14ac:dyDescent="0.3">
      <c r="A12" s="33"/>
      <c r="B12" s="3"/>
      <c r="C12" s="3"/>
      <c r="D12" s="3"/>
      <c r="E12" s="5"/>
      <c r="F12" s="5"/>
      <c r="G12" s="5"/>
      <c r="H12" s="5"/>
      <c r="I12" s="5"/>
      <c r="J12" s="3"/>
      <c r="K12" s="5"/>
      <c r="L12" s="3"/>
      <c r="M12" s="5"/>
      <c r="N12" s="5"/>
      <c r="O12" s="5"/>
      <c r="P12" s="5"/>
      <c r="Q12" s="5"/>
      <c r="R12" s="5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s="2" customFormat="1" ht="21" customHeight="1" x14ac:dyDescent="0.3">
      <c r="A13" s="33"/>
      <c r="B13" s="157" t="s">
        <v>235</v>
      </c>
      <c r="C13" s="5"/>
      <c r="D13" s="5"/>
      <c r="E13" s="5"/>
      <c r="F13" s="5"/>
      <c r="G13" s="5"/>
      <c r="H13" s="3"/>
      <c r="I13" s="5"/>
      <c r="J13" s="3"/>
      <c r="K13" s="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s="2" customFormat="1" ht="21" customHeight="1" x14ac:dyDescent="0.3">
      <c r="A14" s="33"/>
      <c r="B14" s="158" t="s">
        <v>236</v>
      </c>
      <c r="C14" s="128">
        <v>3000</v>
      </c>
      <c r="D14" s="5"/>
      <c r="E14" s="5"/>
      <c r="F14" s="5"/>
      <c r="G14" s="5"/>
      <c r="H14" s="5"/>
      <c r="I14" s="5"/>
      <c r="J14" s="3"/>
      <c r="K14" s="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s="2" customFormat="1" ht="21" customHeight="1" x14ac:dyDescent="0.3">
      <c r="A15" s="33"/>
      <c r="B15" s="158" t="s">
        <v>237</v>
      </c>
      <c r="C15" s="128">
        <v>1000</v>
      </c>
      <c r="D15" s="5"/>
      <c r="E15" s="5"/>
      <c r="F15" s="5"/>
      <c r="G15" s="5"/>
      <c r="H15" s="5"/>
      <c r="I15" s="5"/>
      <c r="J15" s="3"/>
      <c r="K15" s="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s="2" customFormat="1" ht="21" customHeight="1" x14ac:dyDescent="0.3">
      <c r="A16" s="33"/>
      <c r="B16" s="158" t="s">
        <v>238</v>
      </c>
      <c r="C16" s="128">
        <v>1500</v>
      </c>
      <c r="D16" s="5"/>
      <c r="E16" s="5"/>
      <c r="F16" s="5"/>
      <c r="G16" s="5"/>
      <c r="H16" s="5"/>
      <c r="I16" s="5"/>
      <c r="J16" s="3"/>
      <c r="K16" s="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s="2" customFormat="1" ht="21" customHeight="1" x14ac:dyDescent="0.3">
      <c r="A17" s="33"/>
      <c r="B17" s="158" t="s">
        <v>239</v>
      </c>
      <c r="C17" s="159">
        <v>4.5</v>
      </c>
      <c r="D17" s="5"/>
      <c r="E17" s="5"/>
      <c r="F17" s="5"/>
      <c r="G17" s="5"/>
      <c r="H17" s="5"/>
      <c r="I17" s="5"/>
      <c r="J17" s="3"/>
      <c r="K17" s="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s="2" customFormat="1" ht="21" customHeight="1" x14ac:dyDescent="0.3">
      <c r="A18" s="33"/>
      <c r="B18" s="158" t="s">
        <v>240</v>
      </c>
      <c r="C18" s="159">
        <v>1.5</v>
      </c>
      <c r="D18" s="5"/>
      <c r="E18" s="5"/>
      <c r="F18" s="5"/>
      <c r="G18" s="5"/>
      <c r="H18" s="5"/>
      <c r="I18" s="5"/>
      <c r="J18" s="3"/>
      <c r="K18" s="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s="2" customFormat="1" ht="21" customHeight="1" x14ac:dyDescent="0.3">
      <c r="A19" s="33"/>
      <c r="B19" s="158" t="s">
        <v>241</v>
      </c>
      <c r="C19" s="159">
        <v>2500</v>
      </c>
      <c r="D19" s="5"/>
      <c r="E19" s="5"/>
      <c r="F19" s="5"/>
      <c r="G19" s="5"/>
      <c r="H19" s="5"/>
      <c r="I19" s="5"/>
      <c r="J19" s="3"/>
      <c r="K19" s="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s="2" customFormat="1" ht="21" customHeight="1" x14ac:dyDescent="0.3">
      <c r="A20" s="33"/>
      <c r="B20" s="158" t="s">
        <v>242</v>
      </c>
      <c r="C20" s="159">
        <v>5000</v>
      </c>
      <c r="D20" s="5"/>
      <c r="E20" s="5"/>
      <c r="F20" s="5"/>
      <c r="G20" s="5"/>
      <c r="H20" s="5"/>
      <c r="I20" s="5"/>
      <c r="J20" s="3"/>
      <c r="K20" s="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s="2" customFormat="1" ht="21" customHeight="1" x14ac:dyDescent="0.3">
      <c r="A21" s="33"/>
      <c r="B21" s="157" t="s">
        <v>243</v>
      </c>
      <c r="C21" s="261">
        <f>MAX(C19,SUM(C14:C16)*C17+(Enrolled_patients-SUM(C14:C16))*C18)+IF(SUM(C14:C16)/Enrolled_patients&gt;0.5,C20,0)</f>
        <v>36500</v>
      </c>
      <c r="D21" s="5"/>
      <c r="E21" s="5"/>
      <c r="F21" s="150"/>
      <c r="G21" s="5"/>
      <c r="H21" s="3"/>
      <c r="I21" s="5"/>
      <c r="J21" s="3"/>
      <c r="K21" s="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2" customFormat="1" ht="21" customHeight="1" x14ac:dyDescent="0.3">
      <c r="A22" s="33"/>
      <c r="B22" s="33"/>
      <c r="C22" s="33"/>
      <c r="D22" s="33"/>
      <c r="E22" s="5"/>
      <c r="F22" s="150"/>
      <c r="G22" s="5"/>
      <c r="H22" s="3"/>
      <c r="I22" s="5"/>
      <c r="J22" s="3"/>
      <c r="K22" s="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s="2" customFormat="1" ht="21" customHeight="1" x14ac:dyDescent="0.3">
      <c r="A23" s="33"/>
      <c r="B23" s="157" t="s">
        <v>385</v>
      </c>
      <c r="C23" s="5"/>
      <c r="D23" s="5"/>
      <c r="E23" s="5"/>
      <c r="F23" s="150"/>
      <c r="G23" s="5"/>
      <c r="H23" s="3"/>
      <c r="I23" s="5"/>
      <c r="J23" s="3"/>
      <c r="K23" s="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s="2" customFormat="1" ht="21" customHeight="1" x14ac:dyDescent="0.3">
      <c r="A24" s="33"/>
      <c r="B24" s="206" t="s">
        <v>389</v>
      </c>
      <c r="C24" s="91" t="s">
        <v>355</v>
      </c>
      <c r="D24" s="5"/>
      <c r="E24" s="5"/>
      <c r="F24" s="150"/>
      <c r="G24" s="5"/>
      <c r="H24" s="3"/>
      <c r="I24" s="5"/>
      <c r="J24" s="3"/>
      <c r="K24" s="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s="2" customFormat="1" ht="21" customHeight="1" x14ac:dyDescent="0.3">
      <c r="A25" s="33"/>
      <c r="B25" s="158" t="s">
        <v>386</v>
      </c>
      <c r="C25" s="260">
        <f>SUM('Master Data'!C12:C14)</f>
        <v>18.5</v>
      </c>
      <c r="D25" s="5"/>
      <c r="E25" s="5"/>
      <c r="F25" s="150"/>
      <c r="G25" s="5"/>
      <c r="H25" s="3"/>
      <c r="I25" s="5"/>
      <c r="J25" s="3"/>
      <c r="K25" s="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s="2" customFormat="1" ht="21" customHeight="1" x14ac:dyDescent="0.3">
      <c r="A26" s="33"/>
      <c r="B26" s="158" t="s">
        <v>388</v>
      </c>
      <c r="C26" s="159">
        <v>585.79999999999995</v>
      </c>
      <c r="D26" s="5"/>
      <c r="E26" s="5"/>
      <c r="F26" s="150"/>
      <c r="G26" s="5"/>
      <c r="H26" s="3"/>
      <c r="I26" s="5"/>
      <c r="J26" s="3"/>
      <c r="K26" s="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s="2" customFormat="1" ht="21" customHeight="1" x14ac:dyDescent="0.3">
      <c r="A27" s="33"/>
      <c r="B27" s="158" t="s">
        <v>387</v>
      </c>
      <c r="C27" s="261">
        <f>IF(C24="Yes",C25*C26*12,0)</f>
        <v>0</v>
      </c>
      <c r="D27" s="5"/>
      <c r="E27" s="5"/>
      <c r="F27" s="150"/>
      <c r="G27" s="5"/>
      <c r="H27" s="3"/>
      <c r="I27" s="5"/>
      <c r="J27" s="3"/>
      <c r="K27" s="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s="2" customFormat="1" ht="21" customHeight="1" x14ac:dyDescent="0.3">
      <c r="A28" s="5"/>
      <c r="B28" s="5"/>
      <c r="C28" s="5"/>
      <c r="D28" s="5"/>
      <c r="E28" s="5"/>
      <c r="F28" s="150"/>
      <c r="G28" s="5"/>
      <c r="H28" s="3"/>
      <c r="I28" s="5"/>
      <c r="J28" s="3"/>
      <c r="K28" s="5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s="2" customFormat="1" ht="21" customHeight="1" x14ac:dyDescent="0.3">
      <c r="A29" s="33"/>
      <c r="B29" s="184" t="s">
        <v>358</v>
      </c>
      <c r="C29" s="197" t="s">
        <v>326</v>
      </c>
      <c r="D29" s="197" t="s">
        <v>327</v>
      </c>
      <c r="E29" s="197" t="s">
        <v>328</v>
      </c>
      <c r="F29" s="5"/>
      <c r="G29" s="5"/>
      <c r="H29" s="5"/>
      <c r="I29" s="5"/>
      <c r="J29" s="3"/>
      <c r="K29" s="5"/>
      <c r="L29" s="3"/>
      <c r="M29" s="5"/>
      <c r="N29" s="5"/>
      <c r="O29" s="5"/>
      <c r="P29" s="5"/>
      <c r="Q29" s="5"/>
      <c r="R29" s="5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s="2" customFormat="1" ht="21" customHeight="1" x14ac:dyDescent="0.3">
      <c r="A30" s="33"/>
      <c r="B30" s="152" t="s">
        <v>329</v>
      </c>
      <c r="C30" s="250">
        <v>0.98</v>
      </c>
      <c r="D30" s="203">
        <v>0.7</v>
      </c>
      <c r="E30" s="203">
        <v>0.95</v>
      </c>
      <c r="F30" s="5"/>
      <c r="G30" s="5"/>
      <c r="H30" s="5"/>
      <c r="I30" s="5"/>
      <c r="J30" s="3"/>
      <c r="K30" s="5"/>
      <c r="L30" s="3"/>
      <c r="M30" s="5"/>
      <c r="N30" s="5"/>
      <c r="O30" s="5"/>
      <c r="P30" s="5"/>
      <c r="Q30" s="5"/>
      <c r="R30" s="5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s="2" customFormat="1" ht="21" customHeight="1" x14ac:dyDescent="0.3">
      <c r="A31" s="33"/>
      <c r="B31" s="152" t="s">
        <v>330</v>
      </c>
      <c r="C31" s="65">
        <f>Virtual!C5</f>
        <v>0.01</v>
      </c>
      <c r="D31" s="65">
        <f>1-D30</f>
        <v>0.30000000000000004</v>
      </c>
      <c r="E31" s="65">
        <f>1-E30</f>
        <v>5.0000000000000044E-2</v>
      </c>
      <c r="F31" s="5"/>
      <c r="G31" s="5"/>
      <c r="H31" s="5"/>
      <c r="I31" s="5"/>
      <c r="J31" s="3"/>
      <c r="K31" s="5"/>
      <c r="L31" s="3"/>
      <c r="M31" s="5"/>
      <c r="N31" s="5"/>
      <c r="O31" s="5"/>
      <c r="P31" s="5"/>
      <c r="Q31" s="5"/>
      <c r="R31" s="5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s="2" customFormat="1" ht="21" customHeight="1" x14ac:dyDescent="0.3">
      <c r="A32" s="33"/>
      <c r="B32" s="152" t="s">
        <v>193</v>
      </c>
      <c r="C32" s="204">
        <f>SUM(C30:C31)</f>
        <v>0.99</v>
      </c>
      <c r="D32" s="204">
        <f>SUM(D30:D31)</f>
        <v>1</v>
      </c>
      <c r="E32" s="204">
        <f>SUM(E30:E31)</f>
        <v>1</v>
      </c>
      <c r="F32" s="150"/>
      <c r="G32" s="5"/>
      <c r="H32" s="3"/>
      <c r="I32" s="5"/>
      <c r="J32" s="3"/>
      <c r="K32" s="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s="2" customFormat="1" ht="21" customHeight="1" x14ac:dyDescent="0.3">
      <c r="A33" s="33"/>
      <c r="B33" s="33"/>
      <c r="C33" s="33"/>
      <c r="D33" s="33"/>
      <c r="E33" s="33"/>
      <c r="F33" s="150"/>
      <c r="G33" s="5"/>
      <c r="H33" s="3"/>
      <c r="I33" s="5"/>
      <c r="J33" s="3"/>
      <c r="K33" s="5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s="2" customFormat="1" ht="21" customHeight="1" x14ac:dyDescent="0.3">
      <c r="A34" s="5"/>
      <c r="B34" s="165" t="s">
        <v>252</v>
      </c>
      <c r="C34" s="184" t="s">
        <v>232</v>
      </c>
      <c r="D34" s="184" t="s">
        <v>233</v>
      </c>
      <c r="E34" s="5"/>
      <c r="F34" s="150"/>
      <c r="G34" s="5"/>
      <c r="H34" s="3"/>
      <c r="I34" s="5"/>
      <c r="J34" s="3"/>
      <c r="K34" s="5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s="2" customFormat="1" ht="21" customHeight="1" x14ac:dyDescent="0.3">
      <c r="A35" s="5"/>
      <c r="B35" s="153" t="s">
        <v>274</v>
      </c>
      <c r="C35" s="129">
        <v>120</v>
      </c>
      <c r="D35" s="129">
        <v>250</v>
      </c>
      <c r="E35" s="5"/>
      <c r="F35" s="150"/>
      <c r="G35" s="5"/>
      <c r="H35" s="3"/>
      <c r="I35" s="5"/>
      <c r="J35" s="3"/>
      <c r="K35" s="5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s="2" customFormat="1" ht="21" customHeight="1" x14ac:dyDescent="0.3">
      <c r="A36" s="5"/>
      <c r="B36" s="153" t="s">
        <v>337</v>
      </c>
      <c r="C36" s="185">
        <v>10</v>
      </c>
      <c r="D36" s="185">
        <v>5</v>
      </c>
      <c r="E36" s="5"/>
      <c r="F36" s="150"/>
      <c r="G36" s="5"/>
      <c r="H36" s="3"/>
      <c r="I36" s="5"/>
      <c r="J36" s="3"/>
      <c r="K36" s="5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s="2" customFormat="1" ht="21" customHeight="1" x14ac:dyDescent="0.3">
      <c r="A37" s="5"/>
      <c r="B37" s="152" t="s">
        <v>275</v>
      </c>
      <c r="C37" s="23">
        <v>15</v>
      </c>
      <c r="D37" s="23">
        <v>30</v>
      </c>
      <c r="E37" s="5"/>
      <c r="F37" s="150"/>
      <c r="G37" s="5"/>
      <c r="H37" s="3"/>
      <c r="I37" s="5"/>
      <c r="J37" s="3"/>
      <c r="K37" s="5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s="2" customFormat="1" ht="21" customHeight="1" x14ac:dyDescent="0.3">
      <c r="A38" s="5"/>
      <c r="B38" s="152" t="s">
        <v>276</v>
      </c>
      <c r="C38" s="23">
        <v>15</v>
      </c>
      <c r="D38" s="23">
        <v>30</v>
      </c>
      <c r="E38" s="5"/>
      <c r="F38" s="150"/>
      <c r="G38" s="5"/>
      <c r="H38" s="3"/>
      <c r="I38" s="5"/>
      <c r="J38" s="3"/>
      <c r="K38" s="5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s="2" customFormat="1" ht="21" customHeight="1" x14ac:dyDescent="0.3">
      <c r="A39" s="5"/>
      <c r="B39" s="5"/>
      <c r="C39" s="5"/>
      <c r="D39" s="5"/>
      <c r="E39" s="5"/>
      <c r="F39" s="150"/>
      <c r="G39" s="5"/>
      <c r="H39" s="3"/>
      <c r="I39" s="5"/>
      <c r="J39" s="3"/>
      <c r="K39" s="5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s="2" customFormat="1" ht="21" customHeight="1" x14ac:dyDescent="0.3">
      <c r="A40" s="3"/>
      <c r="B40" s="224" t="s">
        <v>194</v>
      </c>
      <c r="C40" s="224"/>
      <c r="D40" s="224"/>
      <c r="E40" s="224"/>
      <c r="F40" s="224"/>
      <c r="G40" s="224"/>
      <c r="H40" s="224"/>
      <c r="I40" s="224"/>
      <c r="J40" s="224"/>
      <c r="K40" s="224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s="2" customFormat="1" ht="21" customHeight="1" x14ac:dyDescent="0.3">
      <c r="A41" s="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s="2" customFormat="1" ht="21" customHeight="1" x14ac:dyDescent="0.3">
      <c r="A42" s="3"/>
      <c r="B42" s="42"/>
      <c r="C42" s="245" t="s">
        <v>350</v>
      </c>
      <c r="D42" s="245" t="s">
        <v>351</v>
      </c>
      <c r="E42" s="3"/>
      <c r="F42" s="150"/>
      <c r="G42" s="245" t="s">
        <v>350</v>
      </c>
      <c r="H42" s="245" t="s">
        <v>351</v>
      </c>
      <c r="I42" s="5"/>
      <c r="J42" s="3"/>
      <c r="K42" s="5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s="2" customFormat="1" ht="21" customHeight="1" x14ac:dyDescent="0.3">
      <c r="A43" s="3"/>
      <c r="B43" s="152" t="s">
        <v>352</v>
      </c>
      <c r="C43" s="155">
        <f>(('Master Data'!$F$6*(1-$C$8)*$D$30)-('Master Data'!$F$6*$C$30))/12</f>
        <v>-1400</v>
      </c>
      <c r="D43" s="155">
        <f>(('Master Data'!$F$6*(1-$C$11)*$E$30)-('Master Data'!$F$6*$C$30))/12</f>
        <v>-193.75</v>
      </c>
      <c r="E43" s="5"/>
      <c r="F43" s="152" t="s">
        <v>359</v>
      </c>
      <c r="G43" s="155">
        <f>-'Master Data'!$F$11*$C$8/12</f>
        <v>-666.66666666666663</v>
      </c>
      <c r="H43" s="155">
        <f>-'Master Data'!$F$11*$C$11/12</f>
        <v>-83.333333333333329</v>
      </c>
      <c r="I43" s="5"/>
      <c r="J43" s="5"/>
      <c r="K43" s="5"/>
      <c r="L43" s="5"/>
      <c r="M43" s="5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s="2" customFormat="1" ht="21" customHeight="1" x14ac:dyDescent="0.3">
      <c r="A44" s="3"/>
      <c r="B44" s="152" t="s">
        <v>353</v>
      </c>
      <c r="C44" s="155">
        <f>(('Master Data'!$F$6*(1-$C$8)*$D$31)-('Master Data'!$F$6*$C$31))/12</f>
        <v>425.00000000000006</v>
      </c>
      <c r="D44" s="155">
        <f>(('Master Data'!$F$6*(1-$C$11)*$E$31)-('Master Data'!$F$6*$C$31))/12</f>
        <v>93.750000000000114</v>
      </c>
      <c r="E44" s="5"/>
      <c r="F44" s="5"/>
      <c r="G44" s="5"/>
      <c r="H44" s="5"/>
      <c r="I44" s="5"/>
      <c r="J44" s="5"/>
      <c r="K44" s="5"/>
      <c r="L44" s="5"/>
      <c r="M44" s="5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s="2" customFormat="1" ht="21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s="2" customFormat="1" ht="21" customHeight="1" x14ac:dyDescent="0.3">
      <c r="A46" s="3"/>
      <c r="B46" s="152" t="s">
        <v>363</v>
      </c>
      <c r="C46" s="155">
        <f>$C$43*Average_GP_Revenue</f>
        <v>-16800</v>
      </c>
      <c r="D46" s="155">
        <f>$D$43*Average_GP_Revenue</f>
        <v>-2325</v>
      </c>
      <c r="E46" s="5"/>
      <c r="F46" s="152" t="s">
        <v>361</v>
      </c>
      <c r="G46" s="155">
        <f>$G$43*Average_Nurse_Revenue</f>
        <v>-666.66666666666663</v>
      </c>
      <c r="H46" s="155">
        <f>$H$43*Average_Nurse_Revenue</f>
        <v>-83.333333333333329</v>
      </c>
      <c r="I46" s="5"/>
      <c r="J46" s="5"/>
      <c r="K46" s="5"/>
      <c r="L46" s="5"/>
      <c r="M46" s="5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s="2" customFormat="1" ht="21" customHeight="1" x14ac:dyDescent="0.3">
      <c r="A47" s="3"/>
      <c r="B47" s="152" t="s">
        <v>364</v>
      </c>
      <c r="C47" s="155">
        <f>C44*Virtual!C13</f>
        <v>4250.0000000000009</v>
      </c>
      <c r="D47" s="244">
        <f>D44*Virtual!C13</f>
        <v>937.50000000000114</v>
      </c>
      <c r="E47" s="5"/>
      <c r="F47" s="5"/>
      <c r="G47" s="5"/>
      <c r="H47" s="5"/>
      <c r="I47" s="5"/>
      <c r="J47" s="5"/>
      <c r="K47" s="5"/>
      <c r="L47" s="5"/>
      <c r="M47" s="5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s="2" customFormat="1" ht="21" customHeight="1" x14ac:dyDescent="0.3">
      <c r="A48" s="3"/>
      <c r="B48" s="152" t="s">
        <v>231</v>
      </c>
      <c r="C48" s="155">
        <f>D36*D35+C36*C35/C7</f>
        <v>1650</v>
      </c>
      <c r="D48" s="155"/>
      <c r="E48" s="5"/>
      <c r="F48" s="5"/>
      <c r="G48" s="5"/>
      <c r="H48" s="5"/>
      <c r="I48" s="5"/>
      <c r="J48" s="5"/>
      <c r="K48" s="5"/>
      <c r="L48" s="5"/>
      <c r="M48" s="5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s="2" customFormat="1" ht="21" customHeight="1" x14ac:dyDescent="0.3">
      <c r="A49" s="3"/>
      <c r="B49" s="152" t="s">
        <v>360</v>
      </c>
      <c r="C49" s="155">
        <f>C46+C48</f>
        <v>-15150</v>
      </c>
      <c r="D49" s="155">
        <f>D46</f>
        <v>-2325</v>
      </c>
      <c r="E49" s="5"/>
      <c r="F49" s="152" t="s">
        <v>360</v>
      </c>
      <c r="G49" s="155">
        <f>G46</f>
        <v>-666.66666666666663</v>
      </c>
      <c r="H49" s="155">
        <f>H46</f>
        <v>-83.333333333333329</v>
      </c>
      <c r="I49" s="5"/>
      <c r="J49" s="5"/>
      <c r="K49" s="5"/>
      <c r="L49" s="5"/>
      <c r="M49" s="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s="2" customFormat="1" ht="21" customHeight="1" x14ac:dyDescent="0.3">
      <c r="A50" s="3"/>
      <c r="B50" s="3"/>
      <c r="C50" s="3"/>
      <c r="D50" s="3"/>
      <c r="E50" s="5"/>
      <c r="F50" s="5"/>
      <c r="G50" s="5"/>
      <c r="H50" s="5"/>
      <c r="I50" s="5"/>
      <c r="J50" s="5"/>
      <c r="K50" s="5"/>
      <c r="L50" s="5"/>
      <c r="M50" s="5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s="2" customFormat="1" ht="21" customHeight="1" x14ac:dyDescent="0.3">
      <c r="A51" s="3"/>
      <c r="B51" s="3"/>
      <c r="C51" s="3"/>
      <c r="D51" s="3"/>
      <c r="E51" s="5"/>
      <c r="F51" s="5"/>
      <c r="G51" s="5"/>
      <c r="H51" s="5"/>
      <c r="I51" s="5"/>
      <c r="J51" s="5"/>
      <c r="K51" s="5"/>
      <c r="L51" s="5"/>
      <c r="M51" s="5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s="2" customFormat="1" ht="21" customHeight="1" x14ac:dyDescent="0.3">
      <c r="A52" s="3"/>
      <c r="B52" s="3"/>
      <c r="C52" s="3"/>
      <c r="D52" s="3"/>
      <c r="E52" s="5"/>
      <c r="F52" s="5"/>
      <c r="G52" s="5"/>
      <c r="H52" s="5"/>
      <c r="I52" s="5"/>
      <c r="J52" s="5"/>
      <c r="K52" s="5"/>
      <c r="L52" s="5"/>
      <c r="M52" s="5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s="2" customFormat="1" ht="21" customHeight="1" x14ac:dyDescent="0.3">
      <c r="A53" s="3"/>
      <c r="B53" s="3"/>
      <c r="C53" s="3"/>
      <c r="D53" s="3"/>
      <c r="E53" s="5"/>
      <c r="F53" s="5"/>
      <c r="G53" s="5"/>
      <c r="H53" s="5"/>
      <c r="I53" s="5"/>
      <c r="J53" s="5"/>
      <c r="K53" s="5"/>
      <c r="L53" s="5"/>
      <c r="M53" s="5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s="2" customFormat="1" ht="21" customHeight="1" x14ac:dyDescent="0.3">
      <c r="A54" s="3"/>
      <c r="B54" s="42"/>
      <c r="C54" s="15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s="2" customFormat="1" ht="21" customHeight="1" x14ac:dyDescent="0.3">
      <c r="A55" s="3"/>
      <c r="B55" s="224" t="s">
        <v>69</v>
      </c>
      <c r="C55" s="224"/>
      <c r="D55" s="224"/>
      <c r="E55" s="224"/>
      <c r="F55" s="224"/>
      <c r="G55" s="224"/>
      <c r="H55" s="224"/>
      <c r="I55" s="224"/>
      <c r="J55" s="224"/>
      <c r="K55" s="224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s="2" customFormat="1" ht="21" customHeight="1" x14ac:dyDescent="0.3">
      <c r="A56" s="3"/>
      <c r="B56" s="42"/>
      <c r="C56" s="15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s="2" customFormat="1" ht="21" customHeight="1" x14ac:dyDescent="0.3">
      <c r="A57" s="3"/>
      <c r="B57" s="152" t="s">
        <v>244</v>
      </c>
      <c r="C57" s="5"/>
      <c r="D57" s="3"/>
      <c r="E57" s="3"/>
      <c r="F57" s="152" t="s">
        <v>245</v>
      </c>
      <c r="G57" s="3"/>
      <c r="H57" s="1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s="2" customFormat="1" ht="21" customHeight="1" x14ac:dyDescent="0.3">
      <c r="A58" s="3"/>
      <c r="B58" s="150"/>
      <c r="C58" s="245" t="s">
        <v>350</v>
      </c>
      <c r="D58" s="245" t="s">
        <v>351</v>
      </c>
      <c r="E58" s="3"/>
      <c r="F58" s="3"/>
      <c r="G58" s="245" t="s">
        <v>350</v>
      </c>
      <c r="H58" s="245" t="s">
        <v>351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21" customHeight="1" x14ac:dyDescent="0.3">
      <c r="B59" s="152" t="s">
        <v>365</v>
      </c>
      <c r="C59" s="151">
        <f>C43*GP_Consult_Length</f>
        <v>-21000</v>
      </c>
      <c r="D59" s="151">
        <f>D43*GP_Consult_Length</f>
        <v>-2906.25</v>
      </c>
      <c r="F59" s="152" t="s">
        <v>362</v>
      </c>
      <c r="G59" s="151">
        <f>G43*Nurse_Consult_Length</f>
        <v>-10000</v>
      </c>
      <c r="H59" s="151">
        <f>H43*Nurse_Consult_Length</f>
        <v>-1250</v>
      </c>
      <c r="I59" s="3"/>
      <c r="K59" s="3"/>
    </row>
    <row r="60" spans="1:28" ht="21" customHeight="1" x14ac:dyDescent="0.3">
      <c r="B60" s="152" t="s">
        <v>366</v>
      </c>
      <c r="C60" s="151">
        <f>C44*Virtual!C12</f>
        <v>5100.0000000000009</v>
      </c>
      <c r="D60" s="151">
        <f>D44*Virtual!C12</f>
        <v>1125.0000000000014</v>
      </c>
      <c r="F60" s="3"/>
      <c r="G60" s="3"/>
      <c r="I60" s="3"/>
      <c r="K60" s="3"/>
    </row>
    <row r="61" spans="1:28" ht="21" customHeight="1" x14ac:dyDescent="0.3">
      <c r="B61" s="152" t="s">
        <v>230</v>
      </c>
      <c r="C61" s="151">
        <f>D37*D36+C37*C36</f>
        <v>300</v>
      </c>
      <c r="D61" s="151"/>
      <c r="F61" s="3"/>
      <c r="G61" s="3"/>
      <c r="I61" s="3"/>
      <c r="K61" s="3"/>
    </row>
    <row r="62" spans="1:28" ht="21" customHeight="1" x14ac:dyDescent="0.3">
      <c r="B62" s="152" t="s">
        <v>83</v>
      </c>
      <c r="C62" s="151">
        <f>SUM(C59:C61)</f>
        <v>-15600</v>
      </c>
      <c r="D62" s="151">
        <f>SUM(D59:D61)</f>
        <v>-1781.2499999999986</v>
      </c>
      <c r="F62" s="3"/>
      <c r="G62" s="3"/>
      <c r="I62" s="3"/>
      <c r="K62" s="3"/>
    </row>
    <row r="63" spans="1:28" ht="21" customHeight="1" x14ac:dyDescent="0.3">
      <c r="B63" s="3"/>
      <c r="C63" s="3"/>
      <c r="F63" s="3"/>
      <c r="G63" s="3"/>
      <c r="K63" s="3"/>
    </row>
    <row r="64" spans="1:28" ht="21" customHeight="1" x14ac:dyDescent="0.3">
      <c r="B64" s="3"/>
      <c r="C64" s="3"/>
      <c r="F64" s="3"/>
      <c r="G64" s="3"/>
      <c r="K64" s="3"/>
    </row>
    <row r="65" spans="2:11" ht="21" customHeight="1" x14ac:dyDescent="0.3">
      <c r="C65" s="42"/>
      <c r="F65" s="3"/>
      <c r="G65" s="3"/>
      <c r="K65" s="3"/>
    </row>
    <row r="66" spans="2:11" ht="21" customHeight="1" x14ac:dyDescent="0.3">
      <c r="C66" s="42"/>
      <c r="F66" s="3"/>
      <c r="G66" s="3"/>
      <c r="K66" s="3"/>
    </row>
    <row r="67" spans="2:11" ht="21" customHeight="1" x14ac:dyDescent="0.3">
      <c r="B67" s="3"/>
      <c r="C67" s="3"/>
      <c r="F67" s="3"/>
      <c r="G67" s="3"/>
    </row>
    <row r="68" spans="2:11" ht="21" customHeight="1" x14ac:dyDescent="0.3">
      <c r="B68" s="3"/>
      <c r="C68" s="3"/>
      <c r="F68" s="3"/>
      <c r="G68" s="3"/>
    </row>
    <row r="69" spans="2:11" ht="21" customHeight="1" x14ac:dyDescent="0.3">
      <c r="B69" s="3"/>
      <c r="C69" s="3"/>
      <c r="F69" s="3"/>
      <c r="G69" s="3"/>
    </row>
    <row r="70" spans="2:11" ht="21" customHeight="1" x14ac:dyDescent="0.3">
      <c r="B70" s="3"/>
      <c r="C70" s="3"/>
      <c r="F70" s="3"/>
      <c r="G70" s="3"/>
    </row>
    <row r="71" spans="2:11" ht="21" customHeight="1" x14ac:dyDescent="0.3">
      <c r="B71" s="3"/>
      <c r="C71" s="3"/>
      <c r="F71" s="3"/>
      <c r="G71" s="3"/>
    </row>
    <row r="72" spans="2:11" ht="21" customHeight="1" x14ac:dyDescent="0.3">
      <c r="B72" s="3"/>
      <c r="C72" s="3"/>
      <c r="F72" s="3"/>
      <c r="G72" s="3"/>
    </row>
    <row r="73" spans="2:11" ht="21" customHeight="1" x14ac:dyDescent="0.3">
      <c r="F73" s="3"/>
      <c r="G73" s="3"/>
    </row>
    <row r="74" spans="2:11" ht="21" customHeight="1" x14ac:dyDescent="0.3">
      <c r="F74" s="3"/>
      <c r="G74" s="3"/>
    </row>
  </sheetData>
  <sheetProtection selectLockedCells="1"/>
  <mergeCells count="3">
    <mergeCell ref="B40:K40"/>
    <mergeCell ref="B55:K55"/>
    <mergeCell ref="B2:C2"/>
  </mergeCells>
  <dataValidations count="1">
    <dataValidation type="list" allowBlank="1" showInputMessage="1" showErrorMessage="1" sqref="C3:C4 C24" xr:uid="{555D66A9-1F07-438B-93F9-B3725E9EBD18}">
      <formula1>"Yes,No"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21210-09D2-4598-B1DF-F2C1757E91CD}">
  <dimension ref="A2:G42"/>
  <sheetViews>
    <sheetView zoomScaleNormal="100" workbookViewId="0">
      <selection activeCell="F10" sqref="F10"/>
    </sheetView>
  </sheetViews>
  <sheetFormatPr defaultColWidth="9.109375" defaultRowHeight="21" customHeight="1" x14ac:dyDescent="0.3"/>
  <cols>
    <col min="1" max="1" width="5.109375" style="3" bestFit="1" customWidth="1"/>
    <col min="2" max="2" width="53.88671875" style="3" customWidth="1"/>
    <col min="3" max="3" width="15.33203125" style="3" customWidth="1"/>
    <col min="4" max="4" width="16.77734375" style="3" customWidth="1"/>
    <col min="5" max="5" width="10.5546875" style="3" customWidth="1"/>
    <col min="6" max="6" width="25" style="3" customWidth="1"/>
    <col min="7" max="7" width="25" style="5" customWidth="1"/>
    <col min="8" max="8" width="25" style="3" customWidth="1"/>
    <col min="9" max="16384" width="9.109375" style="3"/>
  </cols>
  <sheetData>
    <row r="2" spans="1:7" ht="21" customHeight="1" x14ac:dyDescent="0.3">
      <c r="B2" s="209" t="s">
        <v>357</v>
      </c>
      <c r="C2" s="209"/>
      <c r="D2" s="209"/>
    </row>
    <row r="3" spans="1:7" ht="21" customHeight="1" x14ac:dyDescent="0.3">
      <c r="B3" s="148"/>
      <c r="C3" s="148" t="s">
        <v>5</v>
      </c>
      <c r="D3" s="148" t="s">
        <v>6</v>
      </c>
    </row>
    <row r="4" spans="1:7" ht="21" customHeight="1" x14ac:dyDescent="0.3">
      <c r="A4" s="33"/>
      <c r="B4" s="18" t="s">
        <v>265</v>
      </c>
      <c r="C4" s="55">
        <f>'Master Data'!F6</f>
        <v>30000</v>
      </c>
      <c r="D4" s="55">
        <f>'Master Data'!F11</f>
        <v>20000</v>
      </c>
      <c r="G4" s="3"/>
    </row>
    <row r="5" spans="1:7" ht="21" customHeight="1" x14ac:dyDescent="0.3">
      <c r="A5" s="33"/>
      <c r="B5" s="18" t="s">
        <v>356</v>
      </c>
      <c r="C5" s="130">
        <v>0.01</v>
      </c>
      <c r="D5" s="130">
        <v>0.05</v>
      </c>
      <c r="G5" s="3"/>
    </row>
    <row r="6" spans="1:7" ht="21" customHeight="1" x14ac:dyDescent="0.3">
      <c r="B6" s="18" t="s">
        <v>266</v>
      </c>
      <c r="C6" s="24">
        <v>0.1</v>
      </c>
      <c r="D6" s="24">
        <v>0.1</v>
      </c>
      <c r="G6" s="3"/>
    </row>
    <row r="7" spans="1:7" ht="21" customHeight="1" x14ac:dyDescent="0.3">
      <c r="B7" s="205" t="s">
        <v>332</v>
      </c>
      <c r="C7" s="55">
        <f>C4*C6</f>
        <v>3000</v>
      </c>
      <c r="D7" s="55">
        <f>D4*D6</f>
        <v>2000</v>
      </c>
      <c r="G7" s="3"/>
    </row>
    <row r="8" spans="1:7" ht="21" customHeight="1" x14ac:dyDescent="0.3">
      <c r="G8" s="3"/>
    </row>
    <row r="9" spans="1:7" ht="21" customHeight="1" x14ac:dyDescent="0.3">
      <c r="B9" s="175" t="s">
        <v>292</v>
      </c>
      <c r="C9" s="119">
        <v>43922</v>
      </c>
      <c r="G9" s="3"/>
    </row>
    <row r="10" spans="1:7" ht="21" customHeight="1" x14ac:dyDescent="0.3">
      <c r="B10" s="176" t="s">
        <v>333</v>
      </c>
      <c r="C10" s="23">
        <v>36</v>
      </c>
      <c r="G10" s="3"/>
    </row>
    <row r="11" spans="1:7" s="49" customFormat="1" ht="21" customHeight="1" x14ac:dyDescent="0.3">
      <c r="A11" s="179"/>
      <c r="B11" s="177"/>
      <c r="C11" s="178"/>
      <c r="D11" s="3"/>
      <c r="E11" s="179"/>
    </row>
    <row r="12" spans="1:7" s="49" customFormat="1" ht="21" customHeight="1" x14ac:dyDescent="0.3">
      <c r="A12" s="179"/>
      <c r="B12" s="176" t="s">
        <v>272</v>
      </c>
      <c r="C12" s="180">
        <v>12</v>
      </c>
      <c r="D12" s="180">
        <v>10</v>
      </c>
      <c r="E12" s="179"/>
    </row>
    <row r="13" spans="1:7" s="49" customFormat="1" ht="21" customHeight="1" x14ac:dyDescent="0.3">
      <c r="B13" s="176" t="s">
        <v>267</v>
      </c>
      <c r="C13" s="129">
        <v>10</v>
      </c>
      <c r="D13" s="129">
        <v>0.5</v>
      </c>
    </row>
    <row r="14" spans="1:7" s="49" customFormat="1" ht="21" customHeight="1" x14ac:dyDescent="0.3">
      <c r="A14" s="179"/>
    </row>
    <row r="15" spans="1:7" ht="21" customHeight="1" x14ac:dyDescent="0.3">
      <c r="G15" s="3"/>
    </row>
    <row r="16" spans="1:7" ht="21" customHeight="1" x14ac:dyDescent="0.3">
      <c r="B16" s="149" t="s">
        <v>43</v>
      </c>
      <c r="C16" s="1"/>
      <c r="G16" s="3"/>
    </row>
    <row r="17" spans="2:7" ht="21" customHeight="1" x14ac:dyDescent="0.3">
      <c r="B17" s="30" t="s">
        <v>28</v>
      </c>
      <c r="C17" s="31" t="s">
        <v>29</v>
      </c>
      <c r="G17" s="3"/>
    </row>
    <row r="18" spans="2:7" ht="21" customHeight="1" x14ac:dyDescent="0.3">
      <c r="B18" s="44"/>
      <c r="C18" s="27"/>
      <c r="G18" s="3"/>
    </row>
    <row r="19" spans="2:7" ht="21" customHeight="1" x14ac:dyDescent="0.3">
      <c r="B19" s="44"/>
      <c r="C19" s="27"/>
      <c r="G19" s="3"/>
    </row>
    <row r="20" spans="2:7" ht="21" customHeight="1" x14ac:dyDescent="0.3">
      <c r="B20" s="44"/>
      <c r="C20" s="27"/>
      <c r="G20" s="3"/>
    </row>
    <row r="21" spans="2:7" ht="21" customHeight="1" x14ac:dyDescent="0.3">
      <c r="B21" s="45"/>
      <c r="C21" s="1"/>
      <c r="G21" s="3"/>
    </row>
    <row r="22" spans="2:7" ht="21" customHeight="1" x14ac:dyDescent="0.3">
      <c r="B22" s="18" t="s">
        <v>150</v>
      </c>
      <c r="C22" s="19">
        <f>SUM(C18:C21)</f>
        <v>0</v>
      </c>
      <c r="D22" s="7"/>
      <c r="G22" s="3"/>
    </row>
    <row r="23" spans="2:7" ht="21" customHeight="1" x14ac:dyDescent="0.3">
      <c r="D23" s="7"/>
      <c r="G23" s="3"/>
    </row>
    <row r="24" spans="2:7" ht="21" customHeight="1" x14ac:dyDescent="0.3">
      <c r="B24" s="149" t="s">
        <v>44</v>
      </c>
      <c r="C24" s="5"/>
      <c r="D24" s="7"/>
      <c r="G24" s="3"/>
    </row>
    <row r="25" spans="2:7" ht="21" customHeight="1" x14ac:dyDescent="0.3">
      <c r="B25" s="30" t="s">
        <v>28</v>
      </c>
      <c r="C25" s="31" t="s">
        <v>29</v>
      </c>
      <c r="D25" s="7"/>
      <c r="G25" s="3"/>
    </row>
    <row r="26" spans="2:7" ht="21" customHeight="1" x14ac:dyDescent="0.3">
      <c r="B26" s="108" t="s">
        <v>336</v>
      </c>
      <c r="C26" s="109">
        <f>50*12*GP_FTE</f>
        <v>4260</v>
      </c>
      <c r="D26" s="7"/>
      <c r="G26" s="3"/>
    </row>
    <row r="27" spans="2:7" ht="21" customHeight="1" x14ac:dyDescent="0.3">
      <c r="B27" s="44"/>
      <c r="C27" s="27"/>
      <c r="D27" s="7"/>
      <c r="G27" s="3"/>
    </row>
    <row r="28" spans="2:7" ht="21" customHeight="1" x14ac:dyDescent="0.3">
      <c r="B28" s="44"/>
      <c r="C28" s="27"/>
      <c r="D28" s="7"/>
      <c r="G28" s="3"/>
    </row>
    <row r="29" spans="2:7" ht="21" customHeight="1" x14ac:dyDescent="0.3">
      <c r="B29" s="45"/>
      <c r="C29" s="1"/>
      <c r="G29" s="3"/>
    </row>
    <row r="30" spans="2:7" ht="21" customHeight="1" x14ac:dyDescent="0.3">
      <c r="B30" s="18" t="s">
        <v>26</v>
      </c>
      <c r="C30" s="19">
        <f>SUM(C26:C29)</f>
        <v>4260</v>
      </c>
      <c r="G30" s="3"/>
    </row>
    <row r="31" spans="2:7" ht="21" customHeight="1" x14ac:dyDescent="0.3">
      <c r="G31" s="3"/>
    </row>
    <row r="32" spans="2:7" ht="21" customHeight="1" x14ac:dyDescent="0.3">
      <c r="B32" s="227" t="s">
        <v>167</v>
      </c>
      <c r="C32" s="228"/>
      <c r="G32" s="3"/>
    </row>
    <row r="33" spans="2:7" ht="21" customHeight="1" x14ac:dyDescent="0.3">
      <c r="B33" s="229"/>
      <c r="C33" s="230"/>
      <c r="G33" s="3"/>
    </row>
    <row r="34" spans="2:7" ht="21" customHeight="1" x14ac:dyDescent="0.3">
      <c r="G34" s="3"/>
    </row>
    <row r="35" spans="2:7" ht="21" customHeight="1" x14ac:dyDescent="0.3">
      <c r="B35" s="41" t="s">
        <v>271</v>
      </c>
      <c r="G35" s="3"/>
    </row>
    <row r="36" spans="2:7" ht="21" customHeight="1" x14ac:dyDescent="0.3">
      <c r="B36" s="38" t="s">
        <v>268</v>
      </c>
      <c r="C36" s="19">
        <f>C4*(C6-C5)*(C13-Average_GP_Revenue)</f>
        <v>-5400.0000000000009</v>
      </c>
      <c r="G36" s="3"/>
    </row>
    <row r="37" spans="2:7" ht="21" customHeight="1" x14ac:dyDescent="0.3">
      <c r="B37" s="38" t="s">
        <v>269</v>
      </c>
      <c r="C37" s="19">
        <f>D4*(D6-D5)*(D13-Average_Nurse_Revenue)</f>
        <v>-500</v>
      </c>
      <c r="G37" s="3"/>
    </row>
    <row r="38" spans="2:7" ht="21" customHeight="1" x14ac:dyDescent="0.3">
      <c r="B38" s="38" t="s">
        <v>270</v>
      </c>
      <c r="C38" s="19">
        <f>SUM(C36:C37)</f>
        <v>-5900.0000000000009</v>
      </c>
      <c r="G38" s="3"/>
    </row>
    <row r="39" spans="2:7" ht="21" customHeight="1" x14ac:dyDescent="0.3">
      <c r="G39" s="3"/>
    </row>
    <row r="40" spans="2:7" ht="21" customHeight="1" x14ac:dyDescent="0.3">
      <c r="B40" s="41" t="s">
        <v>69</v>
      </c>
      <c r="C40" s="21"/>
    </row>
    <row r="41" spans="2:7" ht="21" customHeight="1" x14ac:dyDescent="0.3">
      <c r="B41" s="38" t="s">
        <v>5</v>
      </c>
      <c r="C41" s="79">
        <f>C4*(C6-C5)*(C12-GP_Consult_Length)</f>
        <v>-8100.0000000000018</v>
      </c>
    </row>
    <row r="42" spans="2:7" ht="21" customHeight="1" x14ac:dyDescent="0.3">
      <c r="B42" s="38" t="s">
        <v>6</v>
      </c>
      <c r="C42" s="79">
        <f>D4*(D6-D5)*(D12-Nurse_Consult_Length)</f>
        <v>-5000</v>
      </c>
    </row>
  </sheetData>
  <sheetProtection selectLockedCells="1"/>
  <mergeCells count="2">
    <mergeCell ref="B32:C33"/>
    <mergeCell ref="B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B75"/>
  <sheetViews>
    <sheetView zoomScale="99" zoomScaleNormal="99" workbookViewId="0">
      <selection activeCell="C4" sqref="C4"/>
    </sheetView>
  </sheetViews>
  <sheetFormatPr defaultColWidth="9.109375" defaultRowHeight="21" customHeight="1" x14ac:dyDescent="0.3"/>
  <cols>
    <col min="1" max="1" width="9.109375" style="3"/>
    <col min="2" max="2" width="51.44140625" style="42" bestFit="1" customWidth="1"/>
    <col min="3" max="3" width="14.44140625" style="5" bestFit="1" customWidth="1"/>
    <col min="4" max="4" width="14.6640625" style="3" bestFit="1" customWidth="1"/>
    <col min="5" max="5" width="10" style="3" customWidth="1"/>
    <col min="6" max="6" width="30.109375" style="17" customWidth="1"/>
    <col min="7" max="7" width="9.88671875" style="5" customWidth="1"/>
    <col min="8" max="8" width="10.44140625" style="3" customWidth="1"/>
    <col min="9" max="9" width="7.33203125" style="5" bestFit="1" customWidth="1"/>
    <col min="10" max="10" width="37.44140625" style="3" customWidth="1"/>
    <col min="11" max="11" width="10.5546875" style="5" bestFit="1" customWidth="1"/>
    <col min="12" max="16384" width="9.109375" style="3"/>
  </cols>
  <sheetData>
    <row r="1" spans="1:28" s="8" customFormat="1" ht="21" customHeight="1" x14ac:dyDescent="0.3">
      <c r="A1" s="33"/>
      <c r="B1" s="39"/>
      <c r="C1" s="11"/>
      <c r="D1" s="7"/>
      <c r="E1" s="7"/>
      <c r="F1" s="16"/>
      <c r="G1" s="11"/>
      <c r="H1" s="7"/>
      <c r="I1" s="1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s="8" customFormat="1" ht="43.2" x14ac:dyDescent="0.3">
      <c r="A2" s="33"/>
      <c r="B2" s="209" t="s">
        <v>0</v>
      </c>
      <c r="C2" s="209"/>
      <c r="D2" s="7"/>
      <c r="E2" s="7"/>
      <c r="F2" s="187" t="s">
        <v>289</v>
      </c>
      <c r="G2" s="182" t="s">
        <v>331</v>
      </c>
      <c r="H2" s="182" t="s">
        <v>286</v>
      </c>
      <c r="I2" s="18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s="8" customFormat="1" ht="21" customHeight="1" x14ac:dyDescent="0.3">
      <c r="A3" s="33"/>
      <c r="B3" s="163" t="s">
        <v>234</v>
      </c>
      <c r="C3" s="46">
        <v>43922</v>
      </c>
      <c r="D3" s="7"/>
      <c r="E3" s="7"/>
      <c r="F3" s="38" t="s">
        <v>279</v>
      </c>
      <c r="G3" s="186">
        <v>50</v>
      </c>
      <c r="H3" s="37">
        <f t="shared" ref="H3:H9" si="0">G3*GP_triage_Call_Length/(1-$C$6)</f>
        <v>250</v>
      </c>
      <c r="I3" s="1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8" customFormat="1" ht="21" customHeight="1" x14ac:dyDescent="0.3">
      <c r="A4" s="33"/>
      <c r="B4" s="38" t="s">
        <v>40</v>
      </c>
      <c r="C4" s="23">
        <v>3</v>
      </c>
      <c r="D4" s="7"/>
      <c r="E4" s="7"/>
      <c r="F4" s="38" t="s">
        <v>280</v>
      </c>
      <c r="G4" s="186">
        <v>40</v>
      </c>
      <c r="H4" s="37">
        <f t="shared" si="0"/>
        <v>200</v>
      </c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8" customFormat="1" ht="21" customHeight="1" x14ac:dyDescent="0.3">
      <c r="A5" s="33"/>
      <c r="B5" s="38" t="s">
        <v>277</v>
      </c>
      <c r="C5" s="23">
        <v>4</v>
      </c>
      <c r="D5" s="33"/>
      <c r="E5" s="7"/>
      <c r="F5" s="38" t="s">
        <v>281</v>
      </c>
      <c r="G5" s="186">
        <v>40</v>
      </c>
      <c r="H5" s="37">
        <f t="shared" si="0"/>
        <v>200</v>
      </c>
      <c r="I5" s="11"/>
      <c r="J5" s="7"/>
      <c r="K5" s="7"/>
      <c r="L5" s="11"/>
      <c r="M5" s="1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s="8" customFormat="1" ht="21" customHeight="1" x14ac:dyDescent="0.3">
      <c r="A6" s="33"/>
      <c r="B6" s="38" t="s">
        <v>287</v>
      </c>
      <c r="C6" s="130">
        <v>0.2</v>
      </c>
      <c r="D6" s="7"/>
      <c r="E6" s="7"/>
      <c r="F6" s="38" t="s">
        <v>282</v>
      </c>
      <c r="G6" s="186">
        <v>40</v>
      </c>
      <c r="H6" s="37">
        <f t="shared" si="0"/>
        <v>200</v>
      </c>
      <c r="I6" s="1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s="8" customFormat="1" ht="21" customHeight="1" x14ac:dyDescent="0.3">
      <c r="A7" s="33"/>
      <c r="B7" s="38" t="s">
        <v>32</v>
      </c>
      <c r="C7" s="23">
        <v>52</v>
      </c>
      <c r="D7" s="7"/>
      <c r="E7" s="7"/>
      <c r="F7" s="38" t="s">
        <v>283</v>
      </c>
      <c r="G7" s="186">
        <v>40</v>
      </c>
      <c r="H7" s="37">
        <f t="shared" si="0"/>
        <v>200</v>
      </c>
      <c r="I7" s="11"/>
      <c r="J7" s="7"/>
      <c r="K7" s="1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s="8" customFormat="1" ht="21" customHeight="1" x14ac:dyDescent="0.3">
      <c r="A8" s="33"/>
      <c r="B8" s="38" t="s">
        <v>278</v>
      </c>
      <c r="C8" s="186">
        <v>0</v>
      </c>
      <c r="D8" s="7"/>
      <c r="E8" s="7"/>
      <c r="F8" s="38" t="s">
        <v>284</v>
      </c>
      <c r="G8" s="186"/>
      <c r="H8" s="37">
        <f t="shared" si="0"/>
        <v>0</v>
      </c>
      <c r="I8" s="11"/>
      <c r="J8" s="7"/>
      <c r="K8" s="1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s="8" customFormat="1" ht="21" customHeight="1" x14ac:dyDescent="0.3">
      <c r="A9" s="7"/>
      <c r="B9" s="7"/>
      <c r="C9" s="7"/>
      <c r="D9" s="7"/>
      <c r="E9" s="7"/>
      <c r="F9" s="38" t="s">
        <v>285</v>
      </c>
      <c r="G9" s="186"/>
      <c r="H9" s="37">
        <f t="shared" si="0"/>
        <v>0</v>
      </c>
      <c r="I9" s="7"/>
      <c r="J9" s="7"/>
      <c r="K9" s="1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8" customFormat="1" ht="21" customHeight="1" x14ac:dyDescent="0.3">
      <c r="A10" s="33"/>
      <c r="B10" s="220" t="s">
        <v>288</v>
      </c>
      <c r="C10" s="221"/>
      <c r="D10" s="7"/>
      <c r="E10" s="7"/>
      <c r="F10" s="38" t="s">
        <v>193</v>
      </c>
      <c r="G10" s="37">
        <f>SUM(G3:G9)</f>
        <v>210</v>
      </c>
      <c r="H10" s="37">
        <f>SUM(H3:H9)</f>
        <v>1050</v>
      </c>
      <c r="I10" s="7"/>
      <c r="J10" s="7"/>
      <c r="K10" s="1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8" customFormat="1" ht="21" customHeight="1" x14ac:dyDescent="0.3">
      <c r="A11" s="33"/>
      <c r="B11" s="38" t="s">
        <v>262</v>
      </c>
      <c r="C11" s="246">
        <f>Virtual!C13</f>
        <v>10</v>
      </c>
      <c r="D11" s="7"/>
      <c r="E11" s="7"/>
      <c r="F11" s="7"/>
      <c r="G11" s="7"/>
      <c r="H11" s="7"/>
      <c r="I11" s="7"/>
      <c r="J11" s="7"/>
      <c r="K11" s="1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8" customFormat="1" ht="21" customHeight="1" x14ac:dyDescent="0.3">
      <c r="A12" s="33"/>
      <c r="B12" s="38" t="s">
        <v>260</v>
      </c>
      <c r="C12" s="129">
        <f>10/1.15</f>
        <v>8.6956521739130448</v>
      </c>
      <c r="D12" s="7"/>
      <c r="E12" s="7"/>
      <c r="F12" s="232" t="s">
        <v>344</v>
      </c>
      <c r="G12" s="232"/>
      <c r="H12" s="7"/>
      <c r="I12" s="7"/>
      <c r="J12" s="7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8" customFormat="1" ht="21" customHeight="1" x14ac:dyDescent="0.3">
      <c r="A13" s="33"/>
      <c r="B13" s="38" t="s">
        <v>261</v>
      </c>
      <c r="C13" s="129">
        <v>0</v>
      </c>
      <c r="D13" s="7"/>
      <c r="E13" s="7"/>
      <c r="F13" s="38" t="s">
        <v>345</v>
      </c>
      <c r="G13" s="24">
        <v>2.5</v>
      </c>
      <c r="H13" s="7"/>
      <c r="I13" s="11"/>
      <c r="J13" s="7">
        <f>12*300</f>
        <v>3600</v>
      </c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8" customFormat="1" ht="21" customHeight="1" x14ac:dyDescent="0.3">
      <c r="A14" s="7"/>
      <c r="B14" s="7"/>
      <c r="C14" s="7"/>
      <c r="D14" s="7"/>
      <c r="E14" s="7"/>
      <c r="F14" s="16"/>
      <c r="G14" s="11"/>
      <c r="H14" s="7"/>
      <c r="I14" s="11"/>
      <c r="J14" s="7"/>
      <c r="K14" s="1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s="8" customFormat="1" ht="21" customHeight="1" x14ac:dyDescent="0.3">
      <c r="A15" s="33"/>
      <c r="B15" s="226" t="s">
        <v>339</v>
      </c>
      <c r="C15" s="226"/>
      <c r="D15" s="226"/>
      <c r="E15" s="226"/>
      <c r="F15" s="226"/>
      <c r="G15" s="226"/>
      <c r="H15" s="226"/>
      <c r="I15" s="226"/>
      <c r="J15" s="226"/>
      <c r="K15" s="22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s="8" customFormat="1" ht="21" customHeight="1" x14ac:dyDescent="0.3">
      <c r="A16" s="33"/>
      <c r="B16" s="33"/>
      <c r="C16" s="11"/>
      <c r="D16" s="7"/>
      <c r="E16" s="7"/>
      <c r="F16" s="16"/>
      <c r="G16" s="11"/>
      <c r="H16" s="7"/>
      <c r="I16" s="11"/>
      <c r="J16" s="7"/>
      <c r="K16" s="1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s="8" customFormat="1" ht="21" customHeight="1" x14ac:dyDescent="0.3">
      <c r="A17" s="7"/>
      <c r="B17" s="39"/>
      <c r="C17" s="11"/>
      <c r="D17" s="11"/>
      <c r="E17" s="11"/>
      <c r="F17" s="16"/>
      <c r="G17" s="11"/>
      <c r="H17" s="9"/>
      <c r="I17" s="25">
        <v>0.15</v>
      </c>
      <c r="J17" s="38" t="s">
        <v>1</v>
      </c>
      <c r="K17" s="15">
        <f>ROUND($G$18*I17,0)</f>
        <v>983</v>
      </c>
      <c r="L17" s="10"/>
      <c r="M17" s="9"/>
      <c r="N17" s="9"/>
      <c r="O17" s="9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s="8" customFormat="1" ht="21" customHeight="1" x14ac:dyDescent="0.3">
      <c r="A18" s="7"/>
      <c r="B18" s="39"/>
      <c r="C18" s="11"/>
      <c r="D18" s="7"/>
      <c r="E18" s="26">
        <v>0.6</v>
      </c>
      <c r="F18" s="38" t="s">
        <v>257</v>
      </c>
      <c r="G18" s="14">
        <f>ROUND($C$20*E18,0)</f>
        <v>6552</v>
      </c>
      <c r="H18" s="7"/>
      <c r="I18" s="12">
        <f>1-I17</f>
        <v>0.85</v>
      </c>
      <c r="J18" s="38" t="s">
        <v>2</v>
      </c>
      <c r="K18" s="15">
        <f>ROUND($G$18*I18,0)</f>
        <v>5569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8" customFormat="1" ht="21" customHeight="1" x14ac:dyDescent="0.3">
      <c r="A19" s="7"/>
      <c r="B19" s="39"/>
      <c r="C19" s="11"/>
      <c r="D19" s="7"/>
      <c r="E19" s="7"/>
      <c r="F19" s="40"/>
      <c r="G19" s="11"/>
      <c r="H19" s="7"/>
      <c r="I19" s="11"/>
      <c r="J19" s="39"/>
      <c r="K19" s="11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8" customFormat="1" ht="21" customHeight="1" x14ac:dyDescent="0.3">
      <c r="A20" s="7"/>
      <c r="B20" s="38" t="s">
        <v>34</v>
      </c>
      <c r="C20" s="6">
        <f>G10*C7</f>
        <v>10920</v>
      </c>
      <c r="D20" s="7"/>
      <c r="E20" s="25">
        <v>0.05</v>
      </c>
      <c r="F20" s="38" t="s">
        <v>258</v>
      </c>
      <c r="G20" s="14">
        <f>ROUND($C$20*E20,0)</f>
        <v>546</v>
      </c>
      <c r="H20" s="7"/>
      <c r="I20" s="11"/>
      <c r="J20" s="39"/>
      <c r="K20" s="1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s="8" customFormat="1" ht="21" customHeight="1" x14ac:dyDescent="0.3">
      <c r="A21" s="7"/>
      <c r="B21" s="39"/>
      <c r="C21" s="11"/>
      <c r="D21" s="7"/>
      <c r="E21" s="7"/>
      <c r="F21" s="40"/>
      <c r="G21" s="11"/>
      <c r="H21" s="7"/>
      <c r="I21" s="11"/>
      <c r="J21" s="39"/>
      <c r="K21" s="1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s="8" customFormat="1" ht="21" customHeight="1" x14ac:dyDescent="0.3">
      <c r="A22" s="7"/>
      <c r="B22" s="7"/>
      <c r="C22" s="7"/>
      <c r="D22" s="7"/>
      <c r="E22" s="12">
        <f>1-E18-E20</f>
        <v>0.35000000000000003</v>
      </c>
      <c r="F22" s="38" t="s">
        <v>199</v>
      </c>
      <c r="G22" s="14">
        <f>ROUND($C$20*E22,0)</f>
        <v>3822</v>
      </c>
      <c r="H22" s="7"/>
      <c r="I22" s="26">
        <v>0.05</v>
      </c>
      <c r="J22" s="38" t="s">
        <v>262</v>
      </c>
      <c r="K22" s="15">
        <f>$G$22*I22</f>
        <v>191.10000000000002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s="8" customFormat="1" ht="21" customHeight="1" x14ac:dyDescent="0.3">
      <c r="A23" s="7"/>
      <c r="B23" s="7"/>
      <c r="C23" s="7"/>
      <c r="D23" s="7"/>
      <c r="E23" s="11"/>
      <c r="F23" s="16"/>
      <c r="G23" s="11"/>
      <c r="H23" s="7"/>
      <c r="I23" s="26">
        <v>0.45</v>
      </c>
      <c r="J23" s="38" t="s">
        <v>260</v>
      </c>
      <c r="K23" s="15">
        <f>$G$22*I23</f>
        <v>1719.9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s="8" customFormat="1" ht="21" customHeight="1" x14ac:dyDescent="0.3">
      <c r="A24" s="7"/>
      <c r="B24" s="7"/>
      <c r="C24" s="7"/>
      <c r="D24" s="7"/>
      <c r="E24" s="11"/>
      <c r="F24" s="16"/>
      <c r="G24" s="11"/>
      <c r="H24" s="7"/>
      <c r="I24" s="12">
        <f>1-I22-I23</f>
        <v>0.49999999999999994</v>
      </c>
      <c r="J24" s="38" t="s">
        <v>259</v>
      </c>
      <c r="K24" s="15">
        <f>$G$22*I24</f>
        <v>1910.9999999999998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8" customFormat="1" ht="21" customHeight="1" x14ac:dyDescent="0.3">
      <c r="A25" s="7"/>
      <c r="B25" s="7"/>
      <c r="C25" s="7"/>
      <c r="D25" s="7"/>
      <c r="E25" s="11"/>
      <c r="F25" s="16"/>
      <c r="G25" s="1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s="8" customFormat="1" ht="21" customHeight="1" x14ac:dyDescent="0.3">
      <c r="A26" s="7"/>
      <c r="B26" s="7"/>
      <c r="C26" s="7"/>
      <c r="D26" s="7"/>
      <c r="E26" s="11"/>
      <c r="F26" s="16"/>
      <c r="G26" s="1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s="8" customFormat="1" ht="21" customHeight="1" x14ac:dyDescent="0.3">
      <c r="A27" s="33"/>
      <c r="B27" s="231" t="s">
        <v>342</v>
      </c>
      <c r="C27" s="231"/>
      <c r="D27" s="231"/>
      <c r="E27" s="231"/>
      <c r="F27" s="231"/>
      <c r="G27" s="231"/>
      <c r="H27" s="231"/>
      <c r="I27" s="231"/>
      <c r="J27" s="231"/>
      <c r="K27" s="23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s="8" customFormat="1" ht="21" customHeight="1" x14ac:dyDescent="0.3">
      <c r="A28" s="33"/>
      <c r="B28" s="33"/>
      <c r="C28" s="11"/>
      <c r="D28" s="7"/>
      <c r="E28" s="7"/>
      <c r="F28" s="16"/>
      <c r="G28" s="11"/>
      <c r="H28" s="7"/>
      <c r="I28" s="11"/>
      <c r="J28" s="7"/>
      <c r="K28" s="1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s="8" customFormat="1" ht="21" customHeight="1" x14ac:dyDescent="0.3">
      <c r="A29" s="7"/>
      <c r="B29" s="39"/>
      <c r="C29" s="11"/>
      <c r="D29" s="11"/>
      <c r="E29" s="11"/>
      <c r="F29" s="16"/>
      <c r="G29" s="11"/>
      <c r="H29" s="9"/>
      <c r="I29" s="25">
        <v>0.15</v>
      </c>
      <c r="J29" s="38" t="s">
        <v>1</v>
      </c>
      <c r="K29" s="15">
        <f>ROUND($G$30*I29,0)</f>
        <v>502</v>
      </c>
      <c r="L29" s="10"/>
      <c r="M29" s="9"/>
      <c r="N29" s="9"/>
      <c r="O29" s="9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s="8" customFormat="1" ht="21" customHeight="1" x14ac:dyDescent="0.3">
      <c r="A30" s="7"/>
      <c r="B30" s="39"/>
      <c r="C30" s="11"/>
      <c r="D30" s="7"/>
      <c r="E30" s="26">
        <v>0.35</v>
      </c>
      <c r="F30" s="38" t="s">
        <v>257</v>
      </c>
      <c r="G30" s="14">
        <f>ROUND($C$32*E30,0)</f>
        <v>3344</v>
      </c>
      <c r="H30" s="7"/>
      <c r="I30" s="12">
        <f>1-I29</f>
        <v>0.85</v>
      </c>
      <c r="J30" s="38" t="s">
        <v>2</v>
      </c>
      <c r="K30" s="15">
        <f>ROUND($G$30*I30,0)</f>
        <v>2842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s="8" customFormat="1" ht="21" customHeight="1" x14ac:dyDescent="0.3">
      <c r="A31" s="7"/>
      <c r="B31" s="39"/>
      <c r="C31" s="11"/>
      <c r="D31" s="7"/>
      <c r="E31" s="7"/>
      <c r="F31" s="40"/>
      <c r="G31" s="11"/>
      <c r="H31" s="7"/>
      <c r="I31" s="11"/>
      <c r="J31" s="39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s="8" customFormat="1" ht="21" customHeight="1" x14ac:dyDescent="0.3">
      <c r="A32" s="7"/>
      <c r="B32" s="38" t="s">
        <v>343</v>
      </c>
      <c r="C32" s="6">
        <f>G10*(1+G13)*52/12*'Covid 19'!C7</f>
        <v>9555</v>
      </c>
      <c r="D32" s="7"/>
      <c r="E32" s="25">
        <v>0.05</v>
      </c>
      <c r="F32" s="38" t="s">
        <v>258</v>
      </c>
      <c r="G32" s="14">
        <f>ROUND($C$32*E32,0)</f>
        <v>478</v>
      </c>
      <c r="H32" s="7"/>
      <c r="I32" s="11"/>
      <c r="J32" s="39"/>
      <c r="K32" s="1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s="8" customFormat="1" ht="21" customHeight="1" x14ac:dyDescent="0.3">
      <c r="A33" s="7"/>
      <c r="B33" s="39"/>
      <c r="C33" s="11"/>
      <c r="D33" s="7"/>
      <c r="E33" s="7"/>
      <c r="F33" s="40"/>
      <c r="G33" s="11"/>
      <c r="H33" s="7"/>
      <c r="I33" s="11"/>
      <c r="J33" s="39"/>
      <c r="K33" s="11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s="8" customFormat="1" ht="21" customHeight="1" x14ac:dyDescent="0.3">
      <c r="A34" s="7"/>
      <c r="B34" s="7"/>
      <c r="C34" s="7"/>
      <c r="D34" s="7"/>
      <c r="E34" s="12">
        <f>1-E30-E32</f>
        <v>0.6</v>
      </c>
      <c r="F34" s="38" t="s">
        <v>199</v>
      </c>
      <c r="G34" s="14">
        <f>ROUND($C$32*E34,0)</f>
        <v>5733</v>
      </c>
      <c r="H34" s="7"/>
      <c r="I34" s="26">
        <v>0.05</v>
      </c>
      <c r="J34" s="38" t="s">
        <v>262</v>
      </c>
      <c r="K34" s="15">
        <f>$G$34*I34</f>
        <v>286.65000000000003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s="8" customFormat="1" ht="21" customHeight="1" x14ac:dyDescent="0.3">
      <c r="A35" s="7"/>
      <c r="B35" s="7"/>
      <c r="C35" s="7"/>
      <c r="D35" s="7"/>
      <c r="E35" s="11"/>
      <c r="F35" s="16"/>
      <c r="G35" s="11"/>
      <c r="H35" s="7"/>
      <c r="I35" s="26">
        <v>0.45</v>
      </c>
      <c r="J35" s="38" t="s">
        <v>260</v>
      </c>
      <c r="K35" s="15">
        <f>$G$34*I35</f>
        <v>2579.85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s="8" customFormat="1" ht="21" customHeight="1" x14ac:dyDescent="0.3">
      <c r="A36" s="7"/>
      <c r="B36" s="7"/>
      <c r="C36" s="7"/>
      <c r="D36" s="7"/>
      <c r="E36" s="11"/>
      <c r="F36" s="16"/>
      <c r="G36" s="11"/>
      <c r="H36" s="7"/>
      <c r="I36" s="12">
        <f>1-I34-I35</f>
        <v>0.49999999999999994</v>
      </c>
      <c r="J36" s="38" t="s">
        <v>259</v>
      </c>
      <c r="K36" s="15">
        <f>$G$34*I36</f>
        <v>2866.4999999999995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s="8" customFormat="1" ht="21" customHeight="1" x14ac:dyDescent="0.3">
      <c r="A37" s="7"/>
      <c r="B37" s="7"/>
      <c r="C37" s="7"/>
      <c r="D37" s="7"/>
      <c r="E37" s="11"/>
      <c r="F37" s="16"/>
      <c r="G37" s="11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s="8" customFormat="1" ht="21" customHeight="1" x14ac:dyDescent="0.3">
      <c r="A38" s="7"/>
      <c r="B38" s="226" t="s">
        <v>87</v>
      </c>
      <c r="C38" s="226"/>
      <c r="D38" s="226"/>
      <c r="E38" s="226"/>
      <c r="F38" s="226"/>
      <c r="G38" s="226"/>
      <c r="H38" s="226"/>
      <c r="I38" s="226"/>
      <c r="J38" s="226"/>
      <c r="K38" s="22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s="8" customFormat="1" ht="21" customHeight="1" x14ac:dyDescent="0.3">
      <c r="A39" s="7"/>
      <c r="B39" s="7"/>
      <c r="C39" s="7"/>
      <c r="D39" s="7"/>
      <c r="E39" s="11"/>
      <c r="F39" s="16"/>
      <c r="G39" s="11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s="8" customFormat="1" ht="21" customHeight="1" x14ac:dyDescent="0.3">
      <c r="A40" s="7"/>
      <c r="B40" s="41" t="s">
        <v>43</v>
      </c>
      <c r="C40" s="1"/>
      <c r="D40" s="7"/>
      <c r="E40" s="11"/>
      <c r="F40" s="41" t="s">
        <v>44</v>
      </c>
      <c r="G40" s="5"/>
      <c r="H40" s="7"/>
      <c r="I40" s="7"/>
      <c r="J40" s="227" t="s">
        <v>167</v>
      </c>
      <c r="K40" s="22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s="8" customFormat="1" ht="21" customHeight="1" x14ac:dyDescent="0.3">
      <c r="A41" s="7"/>
      <c r="B41" s="43" t="s">
        <v>28</v>
      </c>
      <c r="C41" s="31" t="s">
        <v>29</v>
      </c>
      <c r="D41" s="7"/>
      <c r="E41" s="11"/>
      <c r="F41" s="43" t="s">
        <v>28</v>
      </c>
      <c r="G41" s="31" t="s">
        <v>29</v>
      </c>
      <c r="H41" s="7"/>
      <c r="I41" s="7"/>
      <c r="J41" s="229"/>
      <c r="K41" s="230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s="8" customFormat="1" ht="21" customHeight="1" x14ac:dyDescent="0.3">
      <c r="A42" s="7"/>
      <c r="B42" s="44"/>
      <c r="C42" s="27"/>
      <c r="D42" s="7"/>
      <c r="E42" s="11"/>
      <c r="F42" s="44"/>
      <c r="G42" s="2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s="8" customFormat="1" ht="21" customHeight="1" x14ac:dyDescent="0.3">
      <c r="A43" s="7"/>
      <c r="B43" s="44"/>
      <c r="C43" s="27"/>
      <c r="D43" s="7"/>
      <c r="E43" s="11"/>
      <c r="F43" s="44"/>
      <c r="G43" s="2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s="8" customFormat="1" ht="21" customHeight="1" x14ac:dyDescent="0.3">
      <c r="A44" s="7"/>
      <c r="B44" s="44"/>
      <c r="C44" s="27"/>
      <c r="D44" s="7"/>
      <c r="E44" s="11"/>
      <c r="F44" s="44"/>
      <c r="G44" s="2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s="8" customFormat="1" ht="21" customHeight="1" x14ac:dyDescent="0.3">
      <c r="A45" s="7"/>
      <c r="B45" s="45"/>
      <c r="C45" s="1"/>
      <c r="D45" s="7"/>
      <c r="E45" s="11"/>
      <c r="F45" s="45"/>
      <c r="G45" s="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s="8" customFormat="1" ht="21" customHeight="1" x14ac:dyDescent="0.3">
      <c r="A46" s="7"/>
      <c r="B46" s="38" t="s">
        <v>150</v>
      </c>
      <c r="C46" s="19">
        <f>SUM(C42:C45)</f>
        <v>0</v>
      </c>
      <c r="D46" s="7"/>
      <c r="E46" s="11"/>
      <c r="F46" s="38" t="s">
        <v>26</v>
      </c>
      <c r="G46" s="19">
        <f>SUM(G42:G45)</f>
        <v>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s="8" customFormat="1" ht="21" customHeight="1" x14ac:dyDescent="0.3">
      <c r="A47" s="7"/>
      <c r="B47" s="7"/>
      <c r="C47" s="7"/>
      <c r="D47" s="7"/>
      <c r="E47" s="11"/>
      <c r="F47" s="16"/>
      <c r="G47" s="11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s="8" customFormat="1" ht="21" customHeight="1" x14ac:dyDescent="0.3">
      <c r="A48" s="7"/>
      <c r="B48" s="226" t="s">
        <v>31</v>
      </c>
      <c r="C48" s="226"/>
      <c r="D48" s="226"/>
      <c r="E48" s="226"/>
      <c r="F48" s="226"/>
      <c r="G48" s="226"/>
      <c r="H48" s="226"/>
      <c r="I48" s="226"/>
      <c r="J48" s="226"/>
      <c r="K48" s="226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s="8" customFormat="1" ht="21" customHeigh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s="8" customFormat="1" ht="14.4" x14ac:dyDescent="0.3">
      <c r="A50" s="7"/>
      <c r="B50" s="39"/>
      <c r="C50" s="38" t="s">
        <v>347</v>
      </c>
      <c r="D50" s="208" t="s">
        <v>346</v>
      </c>
      <c r="E50" s="16"/>
      <c r="F50" s="16"/>
      <c r="G50" s="11"/>
      <c r="H50" s="7"/>
      <c r="I50" s="11"/>
      <c r="J50" s="7"/>
      <c r="K50" s="11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s="2" customFormat="1" ht="21" customHeight="1" x14ac:dyDescent="0.3">
      <c r="A51" s="3"/>
      <c r="B51" s="38" t="s">
        <v>348</v>
      </c>
      <c r="C51" s="19">
        <f>H10*C7/GP_Consult_Length</f>
        <v>3640</v>
      </c>
      <c r="D51" s="19">
        <f>(C32*GP_triage_Call_Length/(1-C6))/GP_Consult_Length</f>
        <v>3185</v>
      </c>
      <c r="E51" s="247"/>
      <c r="F51" s="247"/>
      <c r="G51" s="11"/>
      <c r="H51" s="11"/>
      <c r="I51" s="11"/>
      <c r="J51" s="11"/>
      <c r="K51" s="11"/>
      <c r="L51" s="11"/>
      <c r="M51" s="11"/>
      <c r="N51" s="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s="2" customFormat="1" ht="21" customHeight="1" x14ac:dyDescent="0.3">
      <c r="A52" s="3"/>
      <c r="B52" s="4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s="2" customFormat="1" ht="21" customHeight="1" x14ac:dyDescent="0.3">
      <c r="A53" s="3"/>
      <c r="B53" s="38" t="s">
        <v>46</v>
      </c>
      <c r="C53" s="19">
        <f>-C51*Average_GP_Revenue</f>
        <v>-43680</v>
      </c>
      <c r="D53" s="19">
        <f>-D51*Average_GP_Revenue</f>
        <v>-38220</v>
      </c>
      <c r="E53" s="247"/>
      <c r="F53" s="11"/>
      <c r="G53" s="11"/>
      <c r="H53" s="11"/>
      <c r="I53" s="11"/>
      <c r="J53" s="11"/>
      <c r="K53" s="11"/>
      <c r="L53" s="11"/>
      <c r="M53" s="11"/>
      <c r="N53" s="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s="2" customFormat="1" ht="21" customHeight="1" x14ac:dyDescent="0.3">
      <c r="A54" s="3"/>
      <c r="B54" s="38" t="s">
        <v>33</v>
      </c>
      <c r="C54" s="19">
        <f>C11*K22+C12*K23+C13*K24</f>
        <v>16866.652173913048</v>
      </c>
      <c r="D54" s="19">
        <f>C11*K34+C12*K35+C13*K36</f>
        <v>25299.978260869568</v>
      </c>
      <c r="E54" s="11"/>
      <c r="F54" s="11"/>
      <c r="G54" s="11"/>
      <c r="H54" s="11"/>
      <c r="I54" s="11"/>
      <c r="J54" s="11"/>
      <c r="K54" s="11"/>
      <c r="L54" s="11"/>
      <c r="M54" s="11"/>
      <c r="N54" s="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s="2" customFormat="1" ht="21" customHeight="1" x14ac:dyDescent="0.3">
      <c r="A55" s="3"/>
      <c r="B55" s="38" t="s">
        <v>35</v>
      </c>
      <c r="C55" s="19">
        <f>SUM(C53:C54)</f>
        <v>-26813.347826086952</v>
      </c>
      <c r="D55" s="19">
        <f>SUM(D53:D54)</f>
        <v>-12920.021739130432</v>
      </c>
      <c r="E55" s="248"/>
      <c r="F55" s="11"/>
      <c r="G55" s="11"/>
      <c r="H55" s="11"/>
      <c r="I55" s="11"/>
      <c r="J55" s="11"/>
      <c r="K55" s="11"/>
      <c r="L55" s="11"/>
      <c r="M55" s="11"/>
      <c r="N55" s="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s="2" customFormat="1" ht="21" customHeight="1" x14ac:dyDescent="0.3">
      <c r="A56" s="3"/>
      <c r="B56" s="39"/>
      <c r="C56" s="2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s="2" customFormat="1" ht="21" customHeight="1" x14ac:dyDescent="0.3">
      <c r="A57" s="3"/>
      <c r="B57" s="226" t="s">
        <v>69</v>
      </c>
      <c r="C57" s="226"/>
      <c r="D57" s="226"/>
      <c r="E57" s="226"/>
      <c r="F57" s="226"/>
      <c r="G57" s="226"/>
      <c r="H57" s="226"/>
      <c r="I57" s="226"/>
      <c r="J57" s="226"/>
      <c r="K57" s="226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s="2" customFormat="1" ht="21" customHeight="1" x14ac:dyDescent="0.3">
      <c r="A58" s="3"/>
      <c r="B58" s="39"/>
      <c r="C58" s="2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s="2" customFormat="1" ht="21" customHeight="1" x14ac:dyDescent="0.3">
      <c r="A59" s="3"/>
      <c r="B59" s="38" t="s">
        <v>80</v>
      </c>
      <c r="C59" s="11"/>
      <c r="D59" s="3"/>
      <c r="E59" s="3"/>
      <c r="F59" s="38" t="s">
        <v>81</v>
      </c>
      <c r="G59" s="7"/>
      <c r="H59" s="13"/>
      <c r="I59" s="3"/>
      <c r="J59" s="38" t="s">
        <v>92</v>
      </c>
      <c r="K59" s="7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s="2" customFormat="1" ht="21" customHeight="1" x14ac:dyDescent="0.3">
      <c r="A60" s="3"/>
      <c r="B60" s="16"/>
      <c r="C60" s="38" t="s">
        <v>347</v>
      </c>
      <c r="D60" s="208" t="s">
        <v>346</v>
      </c>
      <c r="E60" s="3"/>
      <c r="F60" s="7"/>
      <c r="G60" s="38" t="s">
        <v>347</v>
      </c>
      <c r="H60" s="208" t="s">
        <v>346</v>
      </c>
      <c r="I60" s="3"/>
      <c r="J60" s="7"/>
      <c r="K60" s="38" t="s">
        <v>347</v>
      </c>
      <c r="L60" s="208" t="s">
        <v>346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21" customHeight="1" x14ac:dyDescent="0.3">
      <c r="B61" s="38" t="s">
        <v>78</v>
      </c>
      <c r="C61" s="78">
        <f>-(C20+K17)*GP_Consult_Length</f>
        <v>-178545</v>
      </c>
      <c r="D61" s="78">
        <f>-(C32+K29)*GP_Consult_Length</f>
        <v>-150855</v>
      </c>
      <c r="F61" s="38" t="s">
        <v>82</v>
      </c>
      <c r="G61" s="78">
        <f>G20*Nurse_Consult_Length</f>
        <v>8190</v>
      </c>
      <c r="H61" s="78">
        <f>G32*Nurse_Consult_Length</f>
        <v>7170</v>
      </c>
      <c r="I61" s="3"/>
      <c r="J61" s="38" t="s">
        <v>85</v>
      </c>
      <c r="K61" s="78">
        <f>C20*C8*60</f>
        <v>0</v>
      </c>
      <c r="L61" s="78">
        <f>C32*C8*60</f>
        <v>0</v>
      </c>
    </row>
    <row r="62" spans="1:28" ht="21" customHeight="1" x14ac:dyDescent="0.3">
      <c r="B62" s="38" t="s">
        <v>79</v>
      </c>
      <c r="C62" s="78">
        <f>H10*C7+K18*GP_Consult_Length</f>
        <v>138135</v>
      </c>
      <c r="D62" s="78">
        <f>GP_triage_Call_Length*C32+K30*GP_Consult_Length</f>
        <v>80850</v>
      </c>
      <c r="F62" s="7"/>
      <c r="G62" s="7"/>
      <c r="H62" s="7"/>
      <c r="I62" s="3"/>
      <c r="J62" s="7"/>
      <c r="K62" s="7"/>
      <c r="L62" s="7"/>
    </row>
    <row r="63" spans="1:28" ht="21" customHeight="1" x14ac:dyDescent="0.3">
      <c r="B63" s="38" t="s">
        <v>45</v>
      </c>
      <c r="C63" s="78">
        <f>-H10*C7*C6</f>
        <v>-10920</v>
      </c>
      <c r="D63" s="78">
        <f>C32*GP_triage_Call_Length-(C32*GP_triage_Call_Length/(1-C6))</f>
        <v>-9555</v>
      </c>
      <c r="F63" s="7"/>
      <c r="G63" s="7"/>
      <c r="H63" s="7"/>
      <c r="I63" s="7"/>
      <c r="J63" s="7"/>
      <c r="K63" s="7"/>
      <c r="L63" s="7"/>
      <c r="M63" s="7"/>
      <c r="N63" s="7"/>
    </row>
    <row r="64" spans="1:28" ht="21" customHeight="1" x14ac:dyDescent="0.3">
      <c r="B64" s="3"/>
      <c r="C64" s="3"/>
      <c r="F64" s="3"/>
      <c r="G64" s="3"/>
      <c r="K64" s="3"/>
    </row>
    <row r="65" spans="2:12" ht="21" customHeight="1" x14ac:dyDescent="0.3">
      <c r="B65" s="38" t="s">
        <v>83</v>
      </c>
      <c r="C65" s="78">
        <f>SUM(C61:C63)</f>
        <v>-51330</v>
      </c>
      <c r="D65" s="78">
        <f>SUM(D61:D63)</f>
        <v>-79560</v>
      </c>
      <c r="F65" s="38" t="s">
        <v>84</v>
      </c>
      <c r="G65" s="78">
        <f>SUM(G61:G63)</f>
        <v>8190</v>
      </c>
      <c r="H65" s="78">
        <f>SUM(H61:H63)</f>
        <v>7170</v>
      </c>
      <c r="J65" s="38" t="s">
        <v>86</v>
      </c>
      <c r="K65" s="78">
        <f>SUM(K61:K63)</f>
        <v>0</v>
      </c>
      <c r="L65" s="78">
        <f>SUM(L61:L63)</f>
        <v>0</v>
      </c>
    </row>
    <row r="66" spans="2:12" ht="21" customHeight="1" x14ac:dyDescent="0.3">
      <c r="F66" s="3"/>
      <c r="G66" s="3"/>
      <c r="K66" s="3"/>
    </row>
    <row r="67" spans="2:12" ht="21" customHeight="1" x14ac:dyDescent="0.3">
      <c r="B67" s="3"/>
      <c r="C67" s="3"/>
      <c r="F67" s="3"/>
      <c r="G67" s="3"/>
      <c r="K67" s="3"/>
    </row>
    <row r="68" spans="2:12" ht="21" customHeight="1" x14ac:dyDescent="0.3">
      <c r="B68" s="3"/>
      <c r="C68" s="3"/>
      <c r="F68" s="3"/>
      <c r="G68" s="3"/>
    </row>
    <row r="69" spans="2:12" ht="21" customHeight="1" x14ac:dyDescent="0.3">
      <c r="B69" s="3"/>
      <c r="C69" s="3"/>
      <c r="F69" s="3"/>
      <c r="G69" s="3"/>
    </row>
    <row r="70" spans="2:12" ht="21" customHeight="1" x14ac:dyDescent="0.3">
      <c r="B70" s="3"/>
      <c r="C70" s="3"/>
      <c r="F70" s="3"/>
      <c r="G70" s="3"/>
    </row>
    <row r="71" spans="2:12" ht="21" customHeight="1" x14ac:dyDescent="0.3">
      <c r="B71" s="3"/>
      <c r="C71" s="3"/>
      <c r="F71" s="3"/>
      <c r="G71" s="3"/>
    </row>
    <row r="72" spans="2:12" ht="21" customHeight="1" x14ac:dyDescent="0.3">
      <c r="B72" s="3"/>
      <c r="C72" s="3"/>
      <c r="F72" s="3"/>
      <c r="G72" s="3"/>
    </row>
    <row r="73" spans="2:12" ht="21" customHeight="1" x14ac:dyDescent="0.3">
      <c r="B73" s="3"/>
      <c r="C73" s="3"/>
      <c r="F73" s="3"/>
      <c r="G73" s="3"/>
    </row>
    <row r="74" spans="2:12" ht="21" customHeight="1" x14ac:dyDescent="0.3">
      <c r="F74" s="3"/>
      <c r="G74" s="3"/>
    </row>
    <row r="75" spans="2:12" ht="21" customHeight="1" x14ac:dyDescent="0.3">
      <c r="F75" s="3"/>
      <c r="G75" s="3"/>
    </row>
  </sheetData>
  <sheetProtection selectLockedCells="1"/>
  <mergeCells count="9">
    <mergeCell ref="B2:C2"/>
    <mergeCell ref="B57:K57"/>
    <mergeCell ref="B48:K48"/>
    <mergeCell ref="B38:K38"/>
    <mergeCell ref="B15:K15"/>
    <mergeCell ref="J40:K41"/>
    <mergeCell ref="B10:C10"/>
    <mergeCell ref="B27:K27"/>
    <mergeCell ref="F12:G12"/>
  </mergeCells>
  <phoneticPr fontId="11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I43"/>
  <sheetViews>
    <sheetView workbookViewId="0">
      <selection activeCell="C4" sqref="C4"/>
    </sheetView>
  </sheetViews>
  <sheetFormatPr defaultColWidth="8.6640625" defaultRowHeight="21" customHeight="1" x14ac:dyDescent="0.3"/>
  <cols>
    <col min="1" max="1" width="8.6640625" style="3"/>
    <col min="2" max="2" width="48.88671875" style="42" bestFit="1" customWidth="1"/>
    <col min="3" max="3" width="16.33203125" style="3" customWidth="1"/>
    <col min="4" max="4" width="11" style="3" customWidth="1"/>
    <col min="5" max="5" width="12.109375" style="3" bestFit="1" customWidth="1"/>
    <col min="6" max="6" width="21.109375" style="3" customWidth="1"/>
    <col min="7" max="7" width="16.6640625" style="3" bestFit="1" customWidth="1"/>
    <col min="8" max="8" width="16.5546875" style="3" customWidth="1"/>
    <col min="9" max="9" width="8.6640625" style="3"/>
    <col min="10" max="10" width="39" style="3" customWidth="1"/>
    <col min="11" max="11" width="22.88671875" style="3" customWidth="1"/>
    <col min="12" max="16384" width="8.6640625" style="3"/>
  </cols>
  <sheetData>
    <row r="1" spans="1:9" ht="21" customHeight="1" x14ac:dyDescent="0.3">
      <c r="A1" s="33"/>
    </row>
    <row r="2" spans="1:9" ht="21" customHeight="1" x14ac:dyDescent="0.3">
      <c r="A2" s="33"/>
      <c r="B2" s="209" t="s">
        <v>3</v>
      </c>
      <c r="C2" s="209"/>
    </row>
    <row r="3" spans="1:9" ht="21" customHeight="1" x14ac:dyDescent="0.3">
      <c r="A3" s="33"/>
      <c r="B3" s="163" t="s">
        <v>292</v>
      </c>
      <c r="C3" s="46">
        <v>43922</v>
      </c>
    </row>
    <row r="4" spans="1:9" ht="21" customHeight="1" x14ac:dyDescent="0.3">
      <c r="A4" s="33"/>
      <c r="B4" s="38" t="s">
        <v>290</v>
      </c>
      <c r="C4" s="23">
        <v>5</v>
      </c>
    </row>
    <row r="5" spans="1:9" ht="21" customHeight="1" x14ac:dyDescent="0.3">
      <c r="A5" s="33"/>
      <c r="B5" s="38" t="s">
        <v>291</v>
      </c>
      <c r="C5" s="23">
        <v>15</v>
      </c>
      <c r="D5" s="233" t="s">
        <v>50</v>
      </c>
      <c r="E5" s="233"/>
      <c r="F5" s="233"/>
    </row>
    <row r="6" spans="1:9" ht="21" customHeight="1" x14ac:dyDescent="0.3">
      <c r="A6" s="33"/>
      <c r="B6" s="38" t="s">
        <v>14</v>
      </c>
      <c r="C6" s="23">
        <v>52</v>
      </c>
    </row>
    <row r="7" spans="1:9" ht="21" customHeight="1" x14ac:dyDescent="0.3">
      <c r="A7" s="33"/>
      <c r="B7" s="33"/>
      <c r="C7" s="33"/>
      <c r="D7" s="33"/>
      <c r="E7" s="33"/>
      <c r="F7" s="33"/>
    </row>
    <row r="8" spans="1:9" ht="21" customHeight="1" x14ac:dyDescent="0.3">
      <c r="A8" s="33"/>
      <c r="B8" s="38" t="s">
        <v>49</v>
      </c>
      <c r="C8" s="69" t="s">
        <v>9</v>
      </c>
      <c r="D8" s="69" t="s">
        <v>89</v>
      </c>
      <c r="E8" s="35" t="s">
        <v>196</v>
      </c>
      <c r="F8" s="68" t="s">
        <v>88</v>
      </c>
      <c r="G8" s="35" t="s">
        <v>56</v>
      </c>
      <c r="H8" s="5"/>
    </row>
    <row r="9" spans="1:9" ht="21" customHeight="1" x14ac:dyDescent="0.3">
      <c r="A9" s="33"/>
      <c r="B9" s="38" t="s">
        <v>48</v>
      </c>
      <c r="C9" s="24">
        <v>0.8</v>
      </c>
      <c r="D9" s="118"/>
      <c r="E9" s="77">
        <f>IF($D9&gt;0,$D9,GP_FTE*$C9)</f>
        <v>5.68</v>
      </c>
      <c r="F9" s="54">
        <f>$C$4*$C$6*E9</f>
        <v>1476.8</v>
      </c>
      <c r="G9" s="19">
        <f>IFERROR(Average_GP_Revenue/GP_Consult_Length*Huddles!$C$5,0)</f>
        <v>12</v>
      </c>
      <c r="H9" s="19">
        <f>-F9*C5/GP_Consult_Length*G9</f>
        <v>-17721.599999999999</v>
      </c>
    </row>
    <row r="10" spans="1:9" ht="21" customHeight="1" x14ac:dyDescent="0.3">
      <c r="A10" s="33"/>
      <c r="B10" s="38" t="s">
        <v>11</v>
      </c>
      <c r="C10" s="24">
        <v>0.8</v>
      </c>
      <c r="D10" s="118"/>
      <c r="E10" s="77">
        <f>IF($D10&gt;0,$D10,Nurse_FTE*C10)</f>
        <v>4.9600000000000009</v>
      </c>
      <c r="F10" s="54">
        <f>$C$4*$C$6*E10</f>
        <v>1289.6000000000001</v>
      </c>
      <c r="G10" s="19">
        <f>IFERROR(Average_Nurse_Revenue/Nurse_Consult_Length*Huddles!$C$5,0)</f>
        <v>1</v>
      </c>
      <c r="H10" s="19">
        <f>-F10*C5/Nurse_Consult_Length*G10</f>
        <v>-1289.6000000000001</v>
      </c>
      <c r="I10" s="33"/>
    </row>
    <row r="11" spans="1:9" ht="21" customHeight="1" x14ac:dyDescent="0.3">
      <c r="A11" s="33"/>
      <c r="B11" s="38" t="s">
        <v>15</v>
      </c>
      <c r="C11" s="24">
        <v>0.8</v>
      </c>
      <c r="D11" s="118"/>
      <c r="E11" s="77">
        <f>IF($D11&gt;0,$D11,(HCA!C6+HCA!C5)*Huddles!C11)</f>
        <v>2.4000000000000004</v>
      </c>
      <c r="F11" s="54">
        <f>$C$4*$C$6*E11</f>
        <v>624.00000000000011</v>
      </c>
      <c r="G11" s="19">
        <v>0</v>
      </c>
      <c r="H11" s="19">
        <f>F11*G11</f>
        <v>0</v>
      </c>
    </row>
    <row r="12" spans="1:9" ht="21" customHeight="1" x14ac:dyDescent="0.3">
      <c r="A12" s="33"/>
      <c r="B12" s="38" t="s">
        <v>13</v>
      </c>
      <c r="C12" s="24"/>
      <c r="D12" s="118">
        <v>1</v>
      </c>
      <c r="E12" s="77">
        <f>IF($D12&gt;0,$D12,Admin_FTE*C12)</f>
        <v>1</v>
      </c>
      <c r="F12" s="54">
        <f>$C$4*$C$6*E12</f>
        <v>260</v>
      </c>
      <c r="G12" s="19">
        <v>0</v>
      </c>
      <c r="H12" s="19">
        <f>F12*G12</f>
        <v>0</v>
      </c>
    </row>
    <row r="13" spans="1:9" ht="21" customHeight="1" x14ac:dyDescent="0.3">
      <c r="A13" s="33"/>
      <c r="C13" s="209" t="s">
        <v>90</v>
      </c>
      <c r="D13" s="209"/>
      <c r="H13" s="19">
        <f>SUM(H9:H12)</f>
        <v>-19011.199999999997</v>
      </c>
    </row>
    <row r="14" spans="1:9" ht="21" customHeight="1" x14ac:dyDescent="0.3">
      <c r="A14" s="33"/>
    </row>
    <row r="15" spans="1:9" ht="21" customHeight="1" x14ac:dyDescent="0.3">
      <c r="B15" s="41" t="s">
        <v>43</v>
      </c>
      <c r="C15" s="1"/>
    </row>
    <row r="16" spans="1:9" ht="21" customHeight="1" x14ac:dyDescent="0.3">
      <c r="B16" s="43" t="s">
        <v>28</v>
      </c>
      <c r="C16" s="31" t="s">
        <v>29</v>
      </c>
    </row>
    <row r="17" spans="2:3" ht="21" customHeight="1" x14ac:dyDescent="0.3">
      <c r="B17" s="44" t="s">
        <v>220</v>
      </c>
      <c r="C17" s="27">
        <v>1000</v>
      </c>
    </row>
    <row r="18" spans="2:3" ht="21" customHeight="1" x14ac:dyDescent="0.3">
      <c r="B18" s="44"/>
      <c r="C18" s="27"/>
    </row>
    <row r="19" spans="2:3" ht="21" customHeight="1" x14ac:dyDescent="0.3">
      <c r="B19" s="45"/>
      <c r="C19" s="1"/>
    </row>
    <row r="20" spans="2:3" ht="21" customHeight="1" x14ac:dyDescent="0.3">
      <c r="B20" s="38" t="s">
        <v>150</v>
      </c>
      <c r="C20" s="19">
        <f>SUM(C17:C19)</f>
        <v>1000</v>
      </c>
    </row>
    <row r="22" spans="2:3" ht="21" customHeight="1" x14ac:dyDescent="0.3">
      <c r="B22" s="41" t="s">
        <v>44</v>
      </c>
      <c r="C22" s="5"/>
    </row>
    <row r="23" spans="2:3" ht="21" customHeight="1" x14ac:dyDescent="0.3">
      <c r="B23" s="43" t="s">
        <v>28</v>
      </c>
      <c r="C23" s="31" t="s">
        <v>29</v>
      </c>
    </row>
    <row r="24" spans="2:3" ht="21" customHeight="1" x14ac:dyDescent="0.3">
      <c r="B24" s="44" t="s">
        <v>221</v>
      </c>
      <c r="C24" s="27">
        <v>50</v>
      </c>
    </row>
    <row r="25" spans="2:3" ht="21" customHeight="1" x14ac:dyDescent="0.3">
      <c r="B25" s="44"/>
      <c r="C25" s="27"/>
    </row>
    <row r="26" spans="2:3" ht="21" customHeight="1" x14ac:dyDescent="0.3">
      <c r="B26" s="44"/>
      <c r="C26" s="27"/>
    </row>
    <row r="27" spans="2:3" ht="21" customHeight="1" x14ac:dyDescent="0.3">
      <c r="B27" s="45"/>
      <c r="C27" s="1"/>
    </row>
    <row r="28" spans="2:3" ht="21" customHeight="1" x14ac:dyDescent="0.3">
      <c r="B28" s="38" t="s">
        <v>26</v>
      </c>
      <c r="C28" s="19">
        <f>SUM(C24:C27)</f>
        <v>50</v>
      </c>
    </row>
    <row r="29" spans="2:3" ht="21" customHeight="1" x14ac:dyDescent="0.3">
      <c r="B29" s="3"/>
    </row>
    <row r="30" spans="2:3" ht="21" customHeight="1" x14ac:dyDescent="0.3">
      <c r="B30" s="227" t="s">
        <v>167</v>
      </c>
      <c r="C30" s="228"/>
    </row>
    <row r="31" spans="2:3" ht="21" customHeight="1" x14ac:dyDescent="0.3">
      <c r="B31" s="229"/>
      <c r="C31" s="230"/>
    </row>
    <row r="33" spans="2:4" ht="21" customHeight="1" x14ac:dyDescent="0.3">
      <c r="B33" s="3"/>
    </row>
    <row r="34" spans="2:4" ht="21" customHeight="1" x14ac:dyDescent="0.3">
      <c r="B34" s="41" t="s">
        <v>69</v>
      </c>
      <c r="C34" s="21"/>
      <c r="D34" s="21"/>
    </row>
    <row r="35" spans="2:4" ht="21" customHeight="1" x14ac:dyDescent="0.3">
      <c r="B35" s="16"/>
      <c r="C35" s="11"/>
      <c r="D35" s="11"/>
    </row>
    <row r="36" spans="2:4" ht="21" customHeight="1" x14ac:dyDescent="0.3">
      <c r="B36" s="38" t="s">
        <v>5</v>
      </c>
      <c r="C36" s="79">
        <f>F9*C5</f>
        <v>22152</v>
      </c>
      <c r="D36" s="11"/>
    </row>
    <row r="37" spans="2:4" ht="21" customHeight="1" x14ac:dyDescent="0.3">
      <c r="B37" s="38" t="s">
        <v>6</v>
      </c>
      <c r="C37" s="79">
        <f>F10*C5</f>
        <v>19344.000000000004</v>
      </c>
      <c r="D37" s="11"/>
    </row>
    <row r="38" spans="2:4" ht="21" customHeight="1" x14ac:dyDescent="0.3">
      <c r="B38" s="38" t="s">
        <v>7</v>
      </c>
      <c r="C38" s="79">
        <f>F11*C5</f>
        <v>9360.0000000000018</v>
      </c>
      <c r="D38" s="11"/>
    </row>
    <row r="39" spans="2:4" ht="21" customHeight="1" x14ac:dyDescent="0.3">
      <c r="B39" s="38" t="s">
        <v>117</v>
      </c>
      <c r="C39" s="79">
        <f>F12*C5</f>
        <v>3900</v>
      </c>
      <c r="D39" s="11"/>
    </row>
    <row r="40" spans="2:4" ht="21" customHeight="1" x14ac:dyDescent="0.3">
      <c r="B40" s="3"/>
      <c r="D40" s="11"/>
    </row>
    <row r="41" spans="2:4" ht="21" customHeight="1" x14ac:dyDescent="0.3">
      <c r="B41" s="3"/>
    </row>
    <row r="42" spans="2:4" ht="21" customHeight="1" x14ac:dyDescent="0.3">
      <c r="B42" s="3"/>
    </row>
    <row r="43" spans="2:4" ht="21" customHeight="1" x14ac:dyDescent="0.3">
      <c r="B43" s="3"/>
    </row>
  </sheetData>
  <sheetProtection selectLockedCells="1"/>
  <mergeCells count="4">
    <mergeCell ref="C13:D13"/>
    <mergeCell ref="D5:F5"/>
    <mergeCell ref="B30:C31"/>
    <mergeCell ref="B2:C2"/>
  </mergeCells>
  <pageMargins left="0.7" right="0.7" top="0.75" bottom="0.75" header="0.3" footer="0.3"/>
  <pageSetup orientation="portrait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H37"/>
  <sheetViews>
    <sheetView topLeftCell="A19" zoomScale="90" zoomScaleNormal="90" workbookViewId="0">
      <selection activeCell="C32" sqref="C32"/>
    </sheetView>
  </sheetViews>
  <sheetFormatPr defaultColWidth="9.109375" defaultRowHeight="21" customHeight="1" x14ac:dyDescent="0.3"/>
  <cols>
    <col min="1" max="1" width="9.109375" style="1"/>
    <col min="2" max="2" width="36.88671875" style="1" customWidth="1"/>
    <col min="3" max="3" width="23" style="1" customWidth="1"/>
    <col min="4" max="4" width="9.109375" style="1"/>
    <col min="5" max="5" width="35.5546875" style="1" bestFit="1" customWidth="1"/>
    <col min="6" max="6" width="25.6640625" style="1" customWidth="1"/>
    <col min="7" max="7" width="29.109375" style="1" bestFit="1" customWidth="1"/>
    <col min="8" max="8" width="32.44140625" style="1" bestFit="1" customWidth="1"/>
    <col min="9" max="16384" width="9.109375" style="1"/>
  </cols>
  <sheetData>
    <row r="1" spans="1:8" ht="21" customHeight="1" x14ac:dyDescent="0.3">
      <c r="A1" s="33"/>
    </row>
    <row r="2" spans="1:8" ht="21" customHeight="1" x14ac:dyDescent="0.3">
      <c r="A2" s="33"/>
      <c r="B2" s="209" t="s">
        <v>7</v>
      </c>
      <c r="C2" s="209"/>
      <c r="E2" s="234" t="s">
        <v>186</v>
      </c>
      <c r="F2" s="235"/>
    </row>
    <row r="3" spans="1:8" ht="21" customHeight="1" x14ac:dyDescent="0.3">
      <c r="A3" s="33"/>
      <c r="B3" s="190" t="s">
        <v>292</v>
      </c>
      <c r="C3" s="46">
        <v>43922</v>
      </c>
    </row>
    <row r="4" spans="1:8" ht="21" customHeight="1" x14ac:dyDescent="0.3">
      <c r="A4" s="33"/>
      <c r="B4" s="18" t="s">
        <v>293</v>
      </c>
      <c r="C4" s="23">
        <v>6</v>
      </c>
      <c r="E4" s="18" t="s">
        <v>95</v>
      </c>
      <c r="F4" s="181" t="s">
        <v>96</v>
      </c>
      <c r="G4" s="181" t="s">
        <v>100</v>
      </c>
      <c r="H4" s="181" t="s">
        <v>101</v>
      </c>
    </row>
    <row r="5" spans="1:8" ht="21" customHeight="1" x14ac:dyDescent="0.3">
      <c r="A5" s="33"/>
      <c r="B5" s="18" t="s">
        <v>297</v>
      </c>
      <c r="C5" s="186">
        <v>1</v>
      </c>
      <c r="E5" s="123" t="s">
        <v>189</v>
      </c>
      <c r="F5" s="124">
        <v>-4</v>
      </c>
      <c r="G5" s="124">
        <v>4</v>
      </c>
      <c r="H5" s="124">
        <v>0</v>
      </c>
    </row>
    <row r="6" spans="1:8" ht="21" customHeight="1" x14ac:dyDescent="0.3">
      <c r="A6" s="33"/>
      <c r="B6" s="18" t="s">
        <v>10</v>
      </c>
      <c r="C6" s="186">
        <v>2</v>
      </c>
      <c r="E6" s="112" t="s">
        <v>202</v>
      </c>
      <c r="F6" s="80">
        <f>-G6*0.8</f>
        <v>-29.538461538461537</v>
      </c>
      <c r="G6" s="80">
        <f>C7/52/60</f>
        <v>36.92307692307692</v>
      </c>
      <c r="H6" s="80"/>
    </row>
    <row r="7" spans="1:8" ht="21" customHeight="1" x14ac:dyDescent="0.3">
      <c r="A7" s="33"/>
      <c r="B7" s="18" t="s">
        <v>201</v>
      </c>
      <c r="C7" s="64">
        <f>(C6-C5)*Annual_FTE_hours*60</f>
        <v>115200</v>
      </c>
      <c r="E7" s="112"/>
      <c r="F7" s="80"/>
      <c r="G7" s="80"/>
      <c r="H7" s="80"/>
    </row>
    <row r="8" spans="1:8" ht="21" customHeight="1" x14ac:dyDescent="0.3">
      <c r="A8" s="33"/>
      <c r="B8" s="18" t="s">
        <v>296</v>
      </c>
      <c r="C8" s="191">
        <v>22</v>
      </c>
      <c r="D8" s="33"/>
      <c r="E8" s="32"/>
      <c r="F8" s="80"/>
      <c r="G8" s="80"/>
      <c r="H8" s="80"/>
    </row>
    <row r="9" spans="1:8" ht="21" customHeight="1" x14ac:dyDescent="0.3">
      <c r="A9" s="33"/>
      <c r="B9" s="33"/>
      <c r="C9" s="33"/>
      <c r="D9" s="33"/>
      <c r="E9" s="32"/>
      <c r="F9" s="80"/>
      <c r="G9" s="80"/>
      <c r="H9" s="80"/>
    </row>
    <row r="10" spans="1:8" ht="21" customHeight="1" x14ac:dyDescent="0.3">
      <c r="A10" s="33"/>
      <c r="B10" s="33"/>
      <c r="C10" s="33"/>
      <c r="D10" s="33"/>
      <c r="E10" s="32"/>
      <c r="F10" s="80"/>
      <c r="G10" s="80"/>
      <c r="H10" s="80"/>
    </row>
    <row r="11" spans="1:8" ht="21" customHeight="1" x14ac:dyDescent="0.3">
      <c r="A11" s="33"/>
      <c r="B11" s="111" t="s">
        <v>43</v>
      </c>
      <c r="E11" s="32"/>
      <c r="F11" s="80"/>
      <c r="G11" s="80"/>
      <c r="H11" s="80"/>
    </row>
    <row r="12" spans="1:8" ht="21" customHeight="1" x14ac:dyDescent="0.3">
      <c r="B12" s="30" t="s">
        <v>28</v>
      </c>
      <c r="C12" s="31" t="s">
        <v>29</v>
      </c>
      <c r="E12" s="32"/>
      <c r="F12" s="80"/>
      <c r="G12" s="80"/>
      <c r="H12" s="80"/>
    </row>
    <row r="13" spans="1:8" ht="21" customHeight="1" x14ac:dyDescent="0.3">
      <c r="B13" s="112"/>
      <c r="C13" s="109"/>
      <c r="E13" s="32"/>
      <c r="F13" s="80"/>
      <c r="G13" s="80"/>
      <c r="H13" s="80"/>
    </row>
    <row r="14" spans="1:8" ht="21" customHeight="1" x14ac:dyDescent="0.3">
      <c r="B14" s="32"/>
      <c r="C14" s="27"/>
      <c r="E14" s="32"/>
      <c r="F14" s="80"/>
      <c r="G14" s="80"/>
      <c r="H14" s="80"/>
    </row>
    <row r="15" spans="1:8" ht="21" customHeight="1" x14ac:dyDescent="0.3">
      <c r="B15" s="32"/>
      <c r="C15" s="27"/>
      <c r="E15" s="32"/>
      <c r="F15" s="80"/>
      <c r="G15" s="80"/>
      <c r="H15" s="80"/>
    </row>
    <row r="16" spans="1:8" ht="21" customHeight="1" x14ac:dyDescent="0.3">
      <c r="E16" s="32"/>
      <c r="F16" s="80"/>
      <c r="G16" s="80"/>
      <c r="H16" s="80"/>
    </row>
    <row r="17" spans="2:8" ht="21" customHeight="1" x14ac:dyDescent="0.3">
      <c r="B17" s="38" t="s">
        <v>150</v>
      </c>
      <c r="C17" s="19">
        <f>SUM(C13:C16)</f>
        <v>0</v>
      </c>
      <c r="E17" s="32"/>
      <c r="F17" s="80"/>
      <c r="G17" s="80"/>
      <c r="H17" s="80"/>
    </row>
    <row r="18" spans="2:8" ht="21" customHeight="1" x14ac:dyDescent="0.3">
      <c r="E18" s="32"/>
      <c r="F18" s="80"/>
      <c r="G18" s="80"/>
      <c r="H18" s="80"/>
    </row>
    <row r="19" spans="2:8" ht="21" customHeight="1" x14ac:dyDescent="0.3">
      <c r="B19" s="41" t="s">
        <v>44</v>
      </c>
      <c r="C19" s="5"/>
      <c r="E19" s="32"/>
      <c r="F19" s="80"/>
      <c r="G19" s="80"/>
      <c r="H19" s="80"/>
    </row>
    <row r="20" spans="2:8" ht="21" customHeight="1" x14ac:dyDescent="0.3">
      <c r="B20" s="43" t="s">
        <v>28</v>
      </c>
      <c r="C20" s="31" t="s">
        <v>29</v>
      </c>
      <c r="E20" s="32"/>
      <c r="F20" s="80"/>
      <c r="G20" s="80"/>
      <c r="H20" s="80"/>
    </row>
    <row r="21" spans="2:8" ht="21" customHeight="1" x14ac:dyDescent="0.3">
      <c r="B21" s="44"/>
      <c r="C21" s="27"/>
      <c r="E21" s="32"/>
      <c r="F21" s="80"/>
      <c r="G21" s="80"/>
      <c r="H21" s="80"/>
    </row>
    <row r="22" spans="2:8" ht="21" customHeight="1" x14ac:dyDescent="0.3">
      <c r="B22" s="44"/>
      <c r="C22" s="27"/>
    </row>
    <row r="23" spans="2:8" ht="21" customHeight="1" x14ac:dyDescent="0.3">
      <c r="B23" s="44"/>
      <c r="C23" s="27"/>
      <c r="E23" s="18" t="s">
        <v>97</v>
      </c>
      <c r="F23" s="81">
        <f>SUM(F6:F22)</f>
        <v>-29.538461538461537</v>
      </c>
      <c r="G23" s="81">
        <f>SUM(G6:G22)</f>
        <v>36.92307692307692</v>
      </c>
      <c r="H23" s="81">
        <f>SUM(H6:H22)</f>
        <v>0</v>
      </c>
    </row>
    <row r="24" spans="2:8" ht="21" customHeight="1" x14ac:dyDescent="0.3">
      <c r="B24" s="45"/>
      <c r="E24" s="18" t="s">
        <v>19</v>
      </c>
      <c r="F24" s="82">
        <f>F23*52*60</f>
        <v>-92160</v>
      </c>
      <c r="G24" s="82">
        <f>G23*52*60</f>
        <v>115199.99999999999</v>
      </c>
      <c r="H24" s="82">
        <f>H23*52*60</f>
        <v>0</v>
      </c>
    </row>
    <row r="25" spans="2:8" ht="21" customHeight="1" x14ac:dyDescent="0.3">
      <c r="B25" s="38" t="s">
        <v>26</v>
      </c>
      <c r="C25" s="19">
        <f>SUM(C21:C24)</f>
        <v>0</v>
      </c>
    </row>
    <row r="26" spans="2:8" ht="21" customHeight="1" x14ac:dyDescent="0.3">
      <c r="G26" s="189" t="str">
        <f>IF(G24=C7,"Allocation = new capacity",IF(G24&gt;C7,"Allocation is greater than new capacity","Allocation is less than new capacity"))</f>
        <v>Allocation = new capacity</v>
      </c>
    </row>
    <row r="27" spans="2:8" ht="21" customHeight="1" x14ac:dyDescent="0.3">
      <c r="B27" s="227" t="s">
        <v>167</v>
      </c>
      <c r="C27" s="228"/>
    </row>
    <row r="28" spans="2:8" ht="21" customHeight="1" x14ac:dyDescent="0.3">
      <c r="B28" s="229"/>
      <c r="C28" s="230"/>
    </row>
    <row r="30" spans="2:8" ht="21" customHeight="1" x14ac:dyDescent="0.3">
      <c r="B30" s="38" t="s">
        <v>194</v>
      </c>
      <c r="C30" s="3"/>
    </row>
    <row r="31" spans="2:8" ht="21" customHeight="1" x14ac:dyDescent="0.3">
      <c r="B31" s="18" t="s">
        <v>62</v>
      </c>
      <c r="C31" s="64">
        <f>(C6-C5)*'Master Data'!$C$15*C8</f>
        <v>45760</v>
      </c>
    </row>
    <row r="33" spans="1:5" ht="21" customHeight="1" x14ac:dyDescent="0.3">
      <c r="B33" s="38" t="s">
        <v>93</v>
      </c>
      <c r="C33" s="11"/>
    </row>
    <row r="34" spans="1:5" ht="21" customHeight="1" x14ac:dyDescent="0.3">
      <c r="B34" s="18" t="s">
        <v>98</v>
      </c>
      <c r="C34" s="82">
        <f>G24</f>
        <v>115199.99999999999</v>
      </c>
    </row>
    <row r="35" spans="1:5" ht="21" customHeight="1" x14ac:dyDescent="0.3">
      <c r="A35" s="136"/>
      <c r="B35" s="4"/>
      <c r="E35" s="136"/>
    </row>
    <row r="36" spans="1:5" ht="21" customHeight="1" x14ac:dyDescent="0.3">
      <c r="B36" s="18" t="s">
        <v>99</v>
      </c>
      <c r="C36" s="82">
        <f>F24</f>
        <v>-92160</v>
      </c>
    </row>
    <row r="37" spans="1:5" ht="21" customHeight="1" x14ac:dyDescent="0.3">
      <c r="B37" s="18" t="s">
        <v>213</v>
      </c>
      <c r="C37" s="82">
        <f>-C36/Nurse_Consult_Length*Average_Nurse_Revenue</f>
        <v>6144</v>
      </c>
      <c r="D37" s="137"/>
    </row>
  </sheetData>
  <sheetProtection selectLockedCells="1"/>
  <mergeCells count="3">
    <mergeCell ref="B27:C28"/>
    <mergeCell ref="B2:C2"/>
    <mergeCell ref="E2:F2"/>
  </mergeCells>
  <conditionalFormatting sqref="G26">
    <cfRule type="expression" dxfId="0" priority="5">
      <formula>$G$24&gt;$C$7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2:I36"/>
  <sheetViews>
    <sheetView zoomScale="105" zoomScaleNormal="105" workbookViewId="0">
      <selection activeCell="C9" sqref="C9"/>
    </sheetView>
  </sheetViews>
  <sheetFormatPr defaultColWidth="9.109375" defaultRowHeight="21" customHeight="1" x14ac:dyDescent="0.3"/>
  <cols>
    <col min="1" max="1" width="5.109375" style="3" bestFit="1" customWidth="1"/>
    <col min="2" max="2" width="53.88671875" style="3" customWidth="1"/>
    <col min="3" max="3" width="15.33203125" style="3" customWidth="1"/>
    <col min="4" max="4" width="15.109375" style="3" customWidth="1"/>
    <col min="5" max="5" width="14.33203125" style="3" customWidth="1"/>
    <col min="6" max="6" width="25" style="3" customWidth="1"/>
    <col min="7" max="7" width="27.109375" style="3" bestFit="1" customWidth="1"/>
    <col min="8" max="8" width="25" style="3" customWidth="1"/>
    <col min="9" max="9" width="25" style="5" customWidth="1"/>
    <col min="10" max="10" width="25" style="3" customWidth="1"/>
    <col min="11" max="16384" width="9.109375" style="3"/>
  </cols>
  <sheetData>
    <row r="2" spans="1:9" ht="21" customHeight="1" x14ac:dyDescent="0.3">
      <c r="B2" s="209" t="s">
        <v>263</v>
      </c>
      <c r="C2" s="209"/>
      <c r="I2" s="3"/>
    </row>
    <row r="3" spans="1:9" ht="21" customHeight="1" x14ac:dyDescent="0.3">
      <c r="A3" s="33"/>
      <c r="B3" s="18" t="s">
        <v>64</v>
      </c>
      <c r="C3" s="55">
        <f>Enrolled_patients</f>
        <v>10000</v>
      </c>
      <c r="I3" s="3"/>
    </row>
    <row r="4" spans="1:9" ht="21" customHeight="1" x14ac:dyDescent="0.3">
      <c r="B4" s="18" t="s">
        <v>304</v>
      </c>
      <c r="C4" s="128">
        <v>7000</v>
      </c>
      <c r="I4" s="3"/>
    </row>
    <row r="5" spans="1:9" ht="21" customHeight="1" x14ac:dyDescent="0.3">
      <c r="B5" s="18" t="s">
        <v>298</v>
      </c>
      <c r="C5" s="65">
        <f>C4/C3</f>
        <v>0.7</v>
      </c>
      <c r="I5" s="3"/>
    </row>
    <row r="6" spans="1:9" ht="21" customHeight="1" x14ac:dyDescent="0.3">
      <c r="B6" s="18" t="s">
        <v>303</v>
      </c>
      <c r="C6" s="130">
        <v>0.1</v>
      </c>
      <c r="I6" s="3"/>
    </row>
    <row r="7" spans="1:9" ht="21" customHeight="1" x14ac:dyDescent="0.3">
      <c r="B7" s="18" t="s">
        <v>266</v>
      </c>
      <c r="C7" s="24">
        <v>0.4</v>
      </c>
      <c r="I7" s="3"/>
    </row>
    <row r="8" spans="1:9" ht="21" customHeight="1" x14ac:dyDescent="0.3">
      <c r="B8" s="190" t="s">
        <v>292</v>
      </c>
      <c r="C8" s="119">
        <v>43922</v>
      </c>
      <c r="I8" s="3"/>
    </row>
    <row r="9" spans="1:9" ht="21" customHeight="1" x14ac:dyDescent="0.3">
      <c r="B9" s="18" t="s">
        <v>300</v>
      </c>
      <c r="C9" s="23">
        <v>36</v>
      </c>
      <c r="I9" s="3"/>
    </row>
    <row r="10" spans="1:9" ht="21" customHeight="1" x14ac:dyDescent="0.3">
      <c r="B10" s="3" t="s">
        <v>299</v>
      </c>
      <c r="I10" s="3"/>
    </row>
    <row r="11" spans="1:9" ht="21" customHeight="1" x14ac:dyDescent="0.3">
      <c r="I11" s="3"/>
    </row>
    <row r="12" spans="1:9" ht="21" customHeight="1" x14ac:dyDescent="0.3">
      <c r="C12" s="36" t="s">
        <v>5</v>
      </c>
      <c r="D12" s="36" t="s">
        <v>6</v>
      </c>
      <c r="E12" s="36" t="s">
        <v>16</v>
      </c>
      <c r="F12" s="236" t="s">
        <v>302</v>
      </c>
      <c r="G12" s="237"/>
      <c r="I12" s="3"/>
    </row>
    <row r="13" spans="1:9" ht="21" customHeight="1" x14ac:dyDescent="0.3">
      <c r="B13" s="18" t="s">
        <v>301</v>
      </c>
      <c r="C13" s="67">
        <v>6.8750000000000004E-5</v>
      </c>
      <c r="D13" s="67">
        <v>-4.0250000000000003E-5</v>
      </c>
      <c r="E13" s="67">
        <v>-4.1649999999999993E-4</v>
      </c>
      <c r="F13" s="236"/>
      <c r="G13" s="237"/>
      <c r="I13" s="3"/>
    </row>
    <row r="14" spans="1:9" ht="21" customHeight="1" x14ac:dyDescent="0.3">
      <c r="B14" s="18" t="s">
        <v>66</v>
      </c>
      <c r="C14" s="66">
        <f>C$13*$C$3*($C$7-$C$6)</f>
        <v>0.20625000000000004</v>
      </c>
      <c r="D14" s="66">
        <f>D$13*$C$3*($C$7-$C$6)</f>
        <v>-0.12075000000000002</v>
      </c>
      <c r="E14" s="66">
        <f>E$13*$C$3*($C$7-$C$6)</f>
        <v>-1.2494999999999998</v>
      </c>
      <c r="I14" s="3"/>
    </row>
    <row r="15" spans="1:9" ht="21" customHeight="1" x14ac:dyDescent="0.3">
      <c r="B15" s="18" t="s">
        <v>68</v>
      </c>
      <c r="C15" s="125">
        <f>C14*(52*40)*60</f>
        <v>25740.000000000007</v>
      </c>
      <c r="D15" s="125">
        <f>D14*(52*40)*60</f>
        <v>-15069.600000000004</v>
      </c>
      <c r="E15" s="125">
        <f>E14*(52*40)*60</f>
        <v>-155937.59999999998</v>
      </c>
      <c r="I15" s="3"/>
    </row>
    <row r="16" spans="1:9" ht="21" customHeight="1" x14ac:dyDescent="0.3">
      <c r="B16" s="18" t="s">
        <v>214</v>
      </c>
      <c r="C16" s="82">
        <f>-C15/GP_Consult_Length*Average_GP_Revenue</f>
        <v>-20592.000000000007</v>
      </c>
      <c r="D16" s="82">
        <f>-D15/Nurse_Consult_Length*Average_Nurse_Revenue</f>
        <v>1004.6400000000002</v>
      </c>
      <c r="I16" s="3"/>
    </row>
    <row r="17" spans="2:9" ht="21" customHeight="1" x14ac:dyDescent="0.3">
      <c r="I17" s="3"/>
    </row>
    <row r="18" spans="2:9" ht="21" customHeight="1" x14ac:dyDescent="0.3">
      <c r="I18" s="3"/>
    </row>
    <row r="19" spans="2:9" ht="21" customHeight="1" x14ac:dyDescent="0.3">
      <c r="B19" s="111" t="s">
        <v>43</v>
      </c>
      <c r="C19" s="1"/>
    </row>
    <row r="20" spans="2:9" ht="21" customHeight="1" x14ac:dyDescent="0.3">
      <c r="B20" s="30" t="s">
        <v>28</v>
      </c>
      <c r="C20" s="31" t="s">
        <v>29</v>
      </c>
      <c r="I20" s="3"/>
    </row>
    <row r="21" spans="2:9" ht="21" customHeight="1" x14ac:dyDescent="0.3">
      <c r="B21" s="44"/>
      <c r="C21" s="27"/>
      <c r="I21" s="3"/>
    </row>
    <row r="22" spans="2:9" ht="21" customHeight="1" x14ac:dyDescent="0.3">
      <c r="B22" s="44"/>
      <c r="C22" s="27"/>
      <c r="I22" s="3"/>
    </row>
    <row r="23" spans="2:9" ht="21" customHeight="1" x14ac:dyDescent="0.3">
      <c r="B23" s="44"/>
      <c r="C23" s="27"/>
    </row>
    <row r="24" spans="2:9" ht="21" customHeight="1" x14ac:dyDescent="0.3">
      <c r="B24" s="45"/>
      <c r="C24" s="1"/>
    </row>
    <row r="25" spans="2:9" ht="21" customHeight="1" x14ac:dyDescent="0.3">
      <c r="B25" s="18" t="s">
        <v>150</v>
      </c>
      <c r="C25" s="19">
        <f>SUM(C21:C24)</f>
        <v>0</v>
      </c>
      <c r="D25" s="7"/>
    </row>
    <row r="26" spans="2:9" ht="21" customHeight="1" x14ac:dyDescent="0.3">
      <c r="D26" s="7"/>
    </row>
    <row r="27" spans="2:9" ht="21" customHeight="1" x14ac:dyDescent="0.3">
      <c r="B27" s="111" t="s">
        <v>44</v>
      </c>
      <c r="C27" s="5"/>
      <c r="D27" s="7"/>
    </row>
    <row r="28" spans="2:9" ht="21" customHeight="1" x14ac:dyDescent="0.3">
      <c r="B28" s="30" t="s">
        <v>28</v>
      </c>
      <c r="C28" s="31" t="s">
        <v>29</v>
      </c>
      <c r="D28" s="7"/>
    </row>
    <row r="29" spans="2:9" ht="21" customHeight="1" x14ac:dyDescent="0.3">
      <c r="B29" s="108"/>
      <c r="C29" s="109"/>
      <c r="D29" s="7"/>
    </row>
    <row r="30" spans="2:9" ht="21" customHeight="1" x14ac:dyDescent="0.3">
      <c r="B30" s="44"/>
      <c r="C30" s="27"/>
      <c r="D30" s="7"/>
    </row>
    <row r="31" spans="2:9" ht="21" customHeight="1" x14ac:dyDescent="0.3">
      <c r="B31" s="44"/>
      <c r="C31" s="27"/>
      <c r="D31" s="7"/>
    </row>
    <row r="32" spans="2:9" ht="21" customHeight="1" x14ac:dyDescent="0.3">
      <c r="B32" s="45"/>
      <c r="C32" s="1"/>
    </row>
    <row r="33" spans="2:3" ht="21" customHeight="1" x14ac:dyDescent="0.3">
      <c r="B33" s="18" t="s">
        <v>26</v>
      </c>
      <c r="C33" s="19">
        <f>SUM(C29:C32)</f>
        <v>0</v>
      </c>
    </row>
    <row r="35" spans="2:3" ht="21" customHeight="1" x14ac:dyDescent="0.3">
      <c r="B35" s="227" t="s">
        <v>167</v>
      </c>
      <c r="C35" s="228"/>
    </row>
    <row r="36" spans="2:3" ht="21" customHeight="1" x14ac:dyDescent="0.3">
      <c r="B36" s="229"/>
      <c r="C36" s="230"/>
    </row>
  </sheetData>
  <sheetProtection selectLockedCells="1"/>
  <mergeCells count="3">
    <mergeCell ref="B35:C36"/>
    <mergeCell ref="B2:C2"/>
    <mergeCell ref="F12:G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4CE4520D6F3469B020C8501506770" ma:contentTypeVersion="14" ma:contentTypeDescription="Create a new document." ma:contentTypeScope="" ma:versionID="e10718081a6bee55ec794f318549e375">
  <xsd:schema xmlns:xsd="http://www.w3.org/2001/XMLSchema" xmlns:xs="http://www.w3.org/2001/XMLSchema" xmlns:p="http://schemas.microsoft.com/office/2006/metadata/properties" xmlns:ns1="http://schemas.microsoft.com/sharepoint/v3" xmlns:ns2="662774e8-ceb8-4889-889a-aa8b0aa1d1db" xmlns:ns3="9f0e7999-c8ed-4616-b0a4-fece3b66517b" targetNamespace="http://schemas.microsoft.com/office/2006/metadata/properties" ma:root="true" ma:fieldsID="8064651da9f971ba128248e9d2024f4e" ns1:_="" ns2:_="" ns3:_="">
    <xsd:import namespace="http://schemas.microsoft.com/sharepoint/v3"/>
    <xsd:import namespace="662774e8-ceb8-4889-889a-aa8b0aa1d1db"/>
    <xsd:import namespace="9f0e7999-c8ed-4616-b0a4-fece3b6651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74e8-ceb8-4889-889a-aa8b0aa1d1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e7999-c8ed-4616-b0a4-fece3b6651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431738-9F75-4BEA-87BD-FA955B88FA46}"/>
</file>

<file path=customXml/itemProps2.xml><?xml version="1.0" encoding="utf-8"?>
<ds:datastoreItem xmlns:ds="http://schemas.openxmlformats.org/officeDocument/2006/customXml" ds:itemID="{0EE45372-5EF6-4128-A10A-150560B9A39E}"/>
</file>

<file path=customXml/itemProps3.xml><?xml version="1.0" encoding="utf-8"?>
<ds:datastoreItem xmlns:ds="http://schemas.openxmlformats.org/officeDocument/2006/customXml" ds:itemID="{35F26D3A-98DE-4532-84CA-72B6F7035B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27</vt:i4>
      </vt:variant>
    </vt:vector>
  </HeadingPairs>
  <TitlesOfParts>
    <vt:vector size="41" baseType="lpstr">
      <vt:lpstr>Summary</vt:lpstr>
      <vt:lpstr>Projection</vt:lpstr>
      <vt:lpstr>Master Data</vt:lpstr>
      <vt:lpstr>Covid 19</vt:lpstr>
      <vt:lpstr>Virtual</vt:lpstr>
      <vt:lpstr>GP Triage</vt:lpstr>
      <vt:lpstr>Huddles</vt:lpstr>
      <vt:lpstr>HCA</vt:lpstr>
      <vt:lpstr>Patient Portal</vt:lpstr>
      <vt:lpstr>MDT</vt:lpstr>
      <vt:lpstr>YOC</vt:lpstr>
      <vt:lpstr>Call Management</vt:lpstr>
      <vt:lpstr>Extended Hours</vt:lpstr>
      <vt:lpstr>Other</vt:lpstr>
      <vt:lpstr>'Covid 19'!Admin_FTE</vt:lpstr>
      <vt:lpstr>Admin_FTE</vt:lpstr>
      <vt:lpstr>'Covid 19'!Annual_FTE_hours</vt:lpstr>
      <vt:lpstr>Annual_FTE_hours</vt:lpstr>
      <vt:lpstr>'Covid 19'!Average_GP_Revenue</vt:lpstr>
      <vt:lpstr>Average_GP_Revenue</vt:lpstr>
      <vt:lpstr>'Covid 19'!Average_Nurse_Revenue</vt:lpstr>
      <vt:lpstr>Average_Nurse_Revenue</vt:lpstr>
      <vt:lpstr>'Covid 19'!Enrolled_patients</vt:lpstr>
      <vt:lpstr>Enrolled_patients</vt:lpstr>
      <vt:lpstr>'Covid 19'!GP_Consult_Length</vt:lpstr>
      <vt:lpstr>GP_Consult_Length</vt:lpstr>
      <vt:lpstr>'Covid 19'!GP_FTE</vt:lpstr>
      <vt:lpstr>GP_FTE</vt:lpstr>
      <vt:lpstr>GP_Triage_Adoption_Rate</vt:lpstr>
      <vt:lpstr>GP_triage_Call_Length</vt:lpstr>
      <vt:lpstr>'Covid 19'!Nurse_Consult_Length</vt:lpstr>
      <vt:lpstr>Nurse_Consult_Length</vt:lpstr>
      <vt:lpstr>'Covid 19'!Nurse_FTE</vt:lpstr>
      <vt:lpstr>Nurse_FTE</vt:lpstr>
      <vt:lpstr>'Covid 19'!PLACTIVITY</vt:lpstr>
      <vt:lpstr>PLACTIVITY</vt:lpstr>
      <vt:lpstr>'Covid 19'!PLTYPE</vt:lpstr>
      <vt:lpstr>PLTYPE</vt:lpstr>
      <vt:lpstr>Spare_call_length</vt:lpstr>
      <vt:lpstr>'Covid 19'!YOC_Include</vt:lpstr>
      <vt:lpstr>YOC_Include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Peck; Rob Stewart</dc:creator>
  <cp:lastModifiedBy>Chris Peck</cp:lastModifiedBy>
  <dcterms:created xsi:type="dcterms:W3CDTF">2017-02-02T21:57:41Z</dcterms:created>
  <dcterms:modified xsi:type="dcterms:W3CDTF">2020-04-08T03:41:42Z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0x01010067F4CE4520D6F3469B020C8501506770</vt:lpwstr>
  </property>
</Properties>
</file>